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heets/sheet1.xml" ContentType="application/vnd.openxmlformats-officedocument.spreadsheetml.chart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drawings/drawing7.xml" ContentType="application/vnd.openxmlformats-officedocument.drawing+xml"/>
  <Override PartName="/xl/charts/chart10.xml" ContentType="application/vnd.openxmlformats-officedocument.drawingml.chart+xml"/>
  <Override PartName="/xl/pivotTables/pivotTable2.xml" ContentType="application/vnd.openxmlformats-officedocument.spreadsheetml.pivotTable+xml"/>
  <Override PartName="/xl/drawings/drawing8.xml" ContentType="application/vnd.openxmlformats-officedocument.drawing+xml"/>
  <Override PartName="/xl/charts/chart11.xml" ContentType="application/vnd.openxmlformats-officedocument.drawingml.chart+xml"/>
  <Override PartName="/xl/pivotTables/pivotTable3.xml" ContentType="application/vnd.openxmlformats-officedocument.spreadsheetml.pivotTable+xml"/>
  <Override PartName="/xl/drawings/drawing9.xml" ContentType="application/vnd.openxmlformats-officedocument.drawing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ycao\Google Drive\IT-2018\"/>
    </mc:Choice>
  </mc:AlternateContent>
  <bookViews>
    <workbookView xWindow="0" yWindow="0" windowWidth="21600" windowHeight="9735"/>
  </bookViews>
  <sheets>
    <sheet name="Sheet1" sheetId="1" r:id="rId1"/>
    <sheet name="Sheet4" sheetId="4" r:id="rId2"/>
    <sheet name="Sheet5" sheetId="5" r:id="rId3"/>
    <sheet name="Sheet6" sheetId="6" r:id="rId4"/>
    <sheet name="Sheet2" sheetId="7" r:id="rId5"/>
    <sheet name="Chart4" sheetId="12" r:id="rId6"/>
    <sheet name="BĐ hộp" sheetId="8" r:id="rId7"/>
    <sheet name="Sheet7" sheetId="13" r:id="rId8"/>
    <sheet name="Pental length" sheetId="17" r:id="rId9"/>
    <sheet name="petal width" sheetId="18" r:id="rId10"/>
    <sheet name="BĐ tần số SL" sheetId="19" r:id="rId11"/>
    <sheet name="BĐ tần số SW" sheetId="20" r:id="rId12"/>
    <sheet name="BĐ tần số PL" sheetId="21" r:id="rId13"/>
    <sheet name="BĐ tần số PW" sheetId="22" r:id="rId14"/>
  </sheets>
  <calcPr calcId="152511"/>
  <pivotCaches>
    <pivotCache cacheId="0" r:id="rId15"/>
    <pivotCache cacheId="1" r:id="rId16"/>
    <pivotCache cacheId="2" r:id="rId17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26" i="8" l="1"/>
  <c r="AL27" i="8"/>
  <c r="AL28" i="8"/>
  <c r="AJ28" i="8"/>
  <c r="AJ26" i="8"/>
  <c r="AJ27" i="8"/>
  <c r="BA11" i="8"/>
  <c r="BA10" i="8"/>
  <c r="BA9" i="8"/>
  <c r="BA8" i="8"/>
  <c r="BA7" i="8"/>
  <c r="BA5" i="8"/>
  <c r="AZ11" i="8"/>
  <c r="AZ10" i="8"/>
  <c r="AZ9" i="8"/>
  <c r="AZ8" i="8"/>
  <c r="AZ7" i="8"/>
  <c r="AZ5" i="8"/>
  <c r="AY11" i="8"/>
  <c r="AY10" i="8"/>
  <c r="AY9" i="8"/>
  <c r="AY8" i="8"/>
  <c r="AY7" i="8"/>
  <c r="AY5" i="8"/>
  <c r="BA16" i="8"/>
  <c r="AZ16" i="8"/>
  <c r="AY16" i="8"/>
  <c r="AZ14" i="8"/>
  <c r="BA13" i="8"/>
  <c r="AY13" i="8"/>
  <c r="BA15" i="8"/>
  <c r="AY15" i="8"/>
  <c r="AV11" i="8"/>
  <c r="AV10" i="8"/>
  <c r="AV9" i="8"/>
  <c r="AV8" i="8"/>
  <c r="AV7" i="8"/>
  <c r="AV5" i="8"/>
  <c r="AU11" i="8"/>
  <c r="AU10" i="8"/>
  <c r="AU9" i="8"/>
  <c r="AU8" i="8"/>
  <c r="AU7" i="8"/>
  <c r="AU5" i="8"/>
  <c r="AT11" i="8"/>
  <c r="AT10" i="8"/>
  <c r="AT9" i="8"/>
  <c r="AT8" i="8"/>
  <c r="AT7" i="8"/>
  <c r="AT5" i="8"/>
  <c r="AV16" i="8"/>
  <c r="AU16" i="8"/>
  <c r="AT16" i="8"/>
  <c r="AV14" i="8"/>
  <c r="AT14" i="8"/>
  <c r="AU13" i="8"/>
  <c r="AU15" i="8"/>
  <c r="AQ11" i="8"/>
  <c r="AQ10" i="8"/>
  <c r="AQ9" i="8"/>
  <c r="AQ8" i="8"/>
  <c r="AQ7" i="8"/>
  <c r="AQ5" i="8"/>
  <c r="AP11" i="8"/>
  <c r="AP10" i="8"/>
  <c r="AP9" i="8"/>
  <c r="AP8" i="8"/>
  <c r="AP7" i="8"/>
  <c r="AP5" i="8"/>
  <c r="AO11" i="8"/>
  <c r="AO10" i="8"/>
  <c r="AO9" i="8"/>
  <c r="AO8" i="8"/>
  <c r="AO7" i="8"/>
  <c r="AO5" i="8"/>
  <c r="AQ16" i="8"/>
  <c r="AP16" i="8"/>
  <c r="AO16" i="8"/>
  <c r="AP14" i="8"/>
  <c r="AQ13" i="8"/>
  <c r="AO13" i="8"/>
  <c r="AQ15" i="8"/>
  <c r="AO15" i="8"/>
  <c r="AJ5" i="8"/>
  <c r="I27" i="13"/>
  <c r="AJ18" i="8"/>
  <c r="AL11" i="8"/>
  <c r="AL10" i="8"/>
  <c r="AL9" i="8"/>
  <c r="AL13" i="8" s="1"/>
  <c r="AL8" i="8"/>
  <c r="AL7" i="8"/>
  <c r="AL5" i="8"/>
  <c r="AK11" i="8"/>
  <c r="AK10" i="8"/>
  <c r="AK9" i="8"/>
  <c r="AK8" i="8"/>
  <c r="AK7" i="8"/>
  <c r="AK5" i="8"/>
  <c r="AJ14" i="8"/>
  <c r="AJ13" i="8"/>
  <c r="AJ11" i="8"/>
  <c r="AJ10" i="8"/>
  <c r="AJ9" i="8"/>
  <c r="AJ8" i="8"/>
  <c r="AJ16" i="8"/>
  <c r="AJ7" i="8"/>
  <c r="AL16" i="8"/>
  <c r="AK16" i="8"/>
  <c r="AK14" i="8"/>
  <c r="AL15" i="8"/>
  <c r="AJ15" i="8"/>
  <c r="AZ13" i="8" l="1"/>
  <c r="AY14" i="8"/>
  <c r="BA14" i="8"/>
  <c r="AZ15" i="8"/>
  <c r="AZ18" i="8"/>
  <c r="AY18" i="8"/>
  <c r="BA18" i="8"/>
  <c r="AT13" i="8"/>
  <c r="AV13" i="8"/>
  <c r="AU14" i="8"/>
  <c r="AT15" i="8"/>
  <c r="AV15" i="8"/>
  <c r="AT18" i="8"/>
  <c r="AV18" i="8"/>
  <c r="AU18" i="8"/>
  <c r="AP13" i="8"/>
  <c r="AO14" i="8"/>
  <c r="AQ14" i="8"/>
  <c r="AP15" i="8"/>
  <c r="AP18" i="8"/>
  <c r="AO18" i="8"/>
  <c r="AQ18" i="8"/>
  <c r="AK13" i="8"/>
  <c r="AL14" i="8"/>
  <c r="AK15" i="8"/>
  <c r="AK18" i="8"/>
  <c r="AL18" i="8"/>
  <c r="G14" i="21"/>
  <c r="E14" i="22"/>
  <c r="H11" i="22"/>
  <c r="E10" i="22"/>
  <c r="E11" i="22"/>
  <c r="E12" i="22" s="1"/>
  <c r="H12" i="22" s="1"/>
  <c r="H13" i="22" s="1"/>
  <c r="H14" i="22" s="1"/>
  <c r="H15" i="22" s="1"/>
  <c r="H16" i="22" s="1"/>
  <c r="H17" i="22" s="1"/>
  <c r="H18" i="22" s="1"/>
  <c r="H19" i="22" s="1"/>
  <c r="H20" i="22" s="1"/>
  <c r="H21" i="22" s="1"/>
  <c r="H22" i="22" s="1"/>
  <c r="E13" i="22"/>
  <c r="BA20" i="8" l="1"/>
  <c r="BA19" i="8"/>
  <c r="AZ19" i="8"/>
  <c r="AZ20" i="8"/>
  <c r="AY20" i="8"/>
  <c r="AY19" i="8"/>
  <c r="AU20" i="8"/>
  <c r="AU19" i="8"/>
  <c r="AT19" i="8"/>
  <c r="AT20" i="8"/>
  <c r="AV19" i="8"/>
  <c r="AV20" i="8"/>
  <c r="AQ20" i="8"/>
  <c r="AQ19" i="8"/>
  <c r="AP19" i="8"/>
  <c r="AP20" i="8"/>
  <c r="AO20" i="8"/>
  <c r="AO19" i="8"/>
  <c r="AL20" i="8"/>
  <c r="AL19" i="8"/>
  <c r="AK19" i="8"/>
  <c r="AK20" i="8"/>
  <c r="AJ20" i="8"/>
  <c r="AJ19" i="8"/>
  <c r="H23" i="22"/>
  <c r="AY23" i="8" l="1"/>
  <c r="AY24" i="8"/>
  <c r="AZ22" i="8"/>
  <c r="AZ21" i="8"/>
  <c r="BA23" i="8"/>
  <c r="BA24" i="8"/>
  <c r="AY21" i="8"/>
  <c r="AY22" i="8"/>
  <c r="AZ23" i="8"/>
  <c r="AZ24" i="8"/>
  <c r="BA21" i="8"/>
  <c r="BA22" i="8"/>
  <c r="AV23" i="8"/>
  <c r="AV24" i="8"/>
  <c r="AT23" i="8"/>
  <c r="AT24" i="8"/>
  <c r="AU21" i="8"/>
  <c r="AU22" i="8"/>
  <c r="AV22" i="8"/>
  <c r="AV21" i="8"/>
  <c r="AT21" i="8"/>
  <c r="AT22" i="8"/>
  <c r="AU23" i="8"/>
  <c r="AU24" i="8"/>
  <c r="AO23" i="8"/>
  <c r="AO24" i="8"/>
  <c r="AP22" i="8"/>
  <c r="AP21" i="8"/>
  <c r="AQ23" i="8"/>
  <c r="AQ24" i="8"/>
  <c r="AO21" i="8"/>
  <c r="AO22" i="8"/>
  <c r="AP23" i="8"/>
  <c r="AP24" i="8"/>
  <c r="AQ21" i="8"/>
  <c r="AQ22" i="8"/>
  <c r="AJ23" i="8"/>
  <c r="AJ24" i="8"/>
  <c r="AK22" i="8"/>
  <c r="AK21" i="8"/>
  <c r="AL23" i="8"/>
  <c r="AL24" i="8"/>
  <c r="AJ21" i="8"/>
  <c r="AJ22" i="8"/>
  <c r="AK23" i="8"/>
  <c r="AK24" i="8"/>
  <c r="AL21" i="8"/>
  <c r="AL22" i="8"/>
  <c r="AC11" i="13"/>
  <c r="AB11" i="13"/>
  <c r="AA11" i="13"/>
  <c r="AC10" i="13"/>
  <c r="AC16" i="13" s="1"/>
  <c r="AB10" i="13"/>
  <c r="AA10" i="13"/>
  <c r="AC9" i="13"/>
  <c r="AB9" i="13"/>
  <c r="AA9" i="13"/>
  <c r="AC8" i="13"/>
  <c r="AB8" i="13"/>
  <c r="AA8" i="13"/>
  <c r="AC7" i="13"/>
  <c r="AB7" i="13"/>
  <c r="AA7" i="13"/>
  <c r="AC5" i="13"/>
  <c r="AB5" i="13"/>
  <c r="AA5" i="13"/>
  <c r="AA16" i="13"/>
  <c r="AB15" i="13"/>
  <c r="W11" i="13"/>
  <c r="V11" i="13"/>
  <c r="U11" i="13"/>
  <c r="W10" i="13"/>
  <c r="W16" i="13" s="1"/>
  <c r="V10" i="13"/>
  <c r="U10" i="13"/>
  <c r="W9" i="13"/>
  <c r="V9" i="13"/>
  <c r="U9" i="13"/>
  <c r="W8" i="13"/>
  <c r="V8" i="13"/>
  <c r="U8" i="13"/>
  <c r="W7" i="13"/>
  <c r="V7" i="13"/>
  <c r="U7" i="13"/>
  <c r="W5" i="13"/>
  <c r="V5" i="13"/>
  <c r="U5" i="13"/>
  <c r="W14" i="13"/>
  <c r="V15" i="13"/>
  <c r="P7" i="13"/>
  <c r="Q7" i="13"/>
  <c r="Q11" i="13"/>
  <c r="P11" i="13"/>
  <c r="O11" i="13"/>
  <c r="Q10" i="13"/>
  <c r="Q16" i="13" s="1"/>
  <c r="P10" i="13"/>
  <c r="O10" i="13"/>
  <c r="O16" i="13" s="1"/>
  <c r="Q9" i="13"/>
  <c r="P9" i="13"/>
  <c r="O9" i="13"/>
  <c r="Q8" i="13"/>
  <c r="Q13" i="13" s="1"/>
  <c r="P8" i="13"/>
  <c r="O8" i="13"/>
  <c r="O13" i="13" s="1"/>
  <c r="Q5" i="13"/>
  <c r="P5" i="13"/>
  <c r="O7" i="13"/>
  <c r="O5" i="13"/>
  <c r="P14" i="13"/>
  <c r="P15" i="13"/>
  <c r="G14" i="8"/>
  <c r="G13" i="8"/>
  <c r="G11" i="8"/>
  <c r="K11" i="13"/>
  <c r="J11" i="13"/>
  <c r="I11" i="13"/>
  <c r="K10" i="13"/>
  <c r="J10" i="13"/>
  <c r="I10" i="13"/>
  <c r="K9" i="13"/>
  <c r="J9" i="13"/>
  <c r="I9" i="13"/>
  <c r="K8" i="13"/>
  <c r="J8" i="13"/>
  <c r="I7" i="13"/>
  <c r="I8" i="13"/>
  <c r="K7" i="13"/>
  <c r="K5" i="13"/>
  <c r="J7" i="13"/>
  <c r="J5" i="13"/>
  <c r="I5" i="13"/>
  <c r="G4" i="8"/>
  <c r="H14" i="8"/>
  <c r="I14" i="8"/>
  <c r="J14" i="8"/>
  <c r="H13" i="8"/>
  <c r="I13" i="8"/>
  <c r="J13" i="8"/>
  <c r="H12" i="8"/>
  <c r="I12" i="8"/>
  <c r="J12" i="8"/>
  <c r="G12" i="8"/>
  <c r="I11" i="8"/>
  <c r="H11" i="8"/>
  <c r="J11" i="8"/>
  <c r="H10" i="8"/>
  <c r="I10" i="8"/>
  <c r="J10" i="8"/>
  <c r="G10" i="8"/>
  <c r="H4" i="8"/>
  <c r="I4" i="8"/>
  <c r="J4" i="8"/>
  <c r="H2" i="8"/>
  <c r="I2" i="8"/>
  <c r="J2" i="8"/>
  <c r="G2" i="8"/>
  <c r="J9" i="8"/>
  <c r="J8" i="8"/>
  <c r="J7" i="8"/>
  <c r="J6" i="8"/>
  <c r="J5" i="8"/>
  <c r="I9" i="8"/>
  <c r="I8" i="8"/>
  <c r="I7" i="8"/>
  <c r="I6" i="8"/>
  <c r="I5" i="8"/>
  <c r="H9" i="8"/>
  <c r="H8" i="8"/>
  <c r="H7" i="8"/>
  <c r="H6" i="8"/>
  <c r="H5" i="8"/>
  <c r="J3" i="8"/>
  <c r="I3" i="8"/>
  <c r="H3" i="8"/>
  <c r="G3" i="8"/>
  <c r="D9" i="7"/>
  <c r="G9" i="8"/>
  <c r="G8" i="8"/>
  <c r="G7" i="8"/>
  <c r="G6" i="8"/>
  <c r="G5" i="8"/>
  <c r="S14" i="7"/>
  <c r="S13" i="7"/>
  <c r="S12" i="7"/>
  <c r="S11" i="7"/>
  <c r="S10" i="7"/>
  <c r="S9" i="7"/>
  <c r="S8" i="7"/>
  <c r="S7" i="7"/>
  <c r="N8" i="7"/>
  <c r="N9" i="7"/>
  <c r="I9" i="7"/>
  <c r="N14" i="7"/>
  <c r="N7" i="7" s="1"/>
  <c r="N13" i="7"/>
  <c r="N12" i="7"/>
  <c r="I12" i="7"/>
  <c r="N11" i="7"/>
  <c r="I11" i="7"/>
  <c r="N10" i="7"/>
  <c r="I10" i="7"/>
  <c r="I8" i="7"/>
  <c r="I14" i="7"/>
  <c r="I7" i="7" s="1"/>
  <c r="I13" i="7"/>
  <c r="O12" i="1"/>
  <c r="D8" i="7"/>
  <c r="D14" i="7"/>
  <c r="D13" i="7"/>
  <c r="D7" i="7" s="1"/>
  <c r="D12" i="7"/>
  <c r="D11" i="7"/>
  <c r="D10" i="7"/>
  <c r="D126" i="1"/>
  <c r="D124" i="1"/>
  <c r="C126" i="1"/>
  <c r="C124" i="1"/>
  <c r="B126" i="1"/>
  <c r="B124" i="1"/>
  <c r="A126" i="1"/>
  <c r="A124" i="1"/>
  <c r="P16" i="13" l="1"/>
  <c r="V13" i="13"/>
  <c r="AB13" i="13"/>
  <c r="J15" i="13"/>
  <c r="U15" i="13"/>
  <c r="W15" i="13"/>
  <c r="U14" i="13"/>
  <c r="V16" i="13"/>
  <c r="AA15" i="13"/>
  <c r="AC15" i="13"/>
  <c r="AB16" i="13"/>
  <c r="I13" i="13"/>
  <c r="K16" i="13"/>
  <c r="O15" i="13"/>
  <c r="I15" i="13"/>
  <c r="J13" i="13"/>
  <c r="J16" i="13"/>
  <c r="U16" i="13"/>
  <c r="AA13" i="13"/>
  <c r="I18" i="13"/>
  <c r="K18" i="13"/>
  <c r="K13" i="13"/>
  <c r="I14" i="13"/>
  <c r="J14" i="13"/>
  <c r="I16" i="13"/>
  <c r="J18" i="13"/>
  <c r="K14" i="13"/>
  <c r="K15" i="13"/>
  <c r="Q15" i="13"/>
  <c r="AA14" i="13"/>
  <c r="AC14" i="13"/>
  <c r="AC13" i="13"/>
  <c r="AB14" i="13"/>
  <c r="U13" i="13"/>
  <c r="W13" i="13"/>
  <c r="V14" i="13"/>
  <c r="P13" i="13"/>
  <c r="O14" i="13"/>
  <c r="Q14" i="13"/>
  <c r="U57" i="6"/>
  <c r="W6" i="6"/>
  <c r="W8" i="6"/>
  <c r="W10" i="6"/>
  <c r="W12" i="6"/>
  <c r="W14" i="6"/>
  <c r="W16" i="6"/>
  <c r="W18" i="6"/>
  <c r="W20" i="6"/>
  <c r="W22" i="6"/>
  <c r="W24" i="6"/>
  <c r="W26" i="6"/>
  <c r="W28" i="6"/>
  <c r="W30" i="6"/>
  <c r="W32" i="6"/>
  <c r="W34" i="6"/>
  <c r="W36" i="6"/>
  <c r="W38" i="6"/>
  <c r="W40" i="6"/>
  <c r="W42" i="6"/>
  <c r="W44" i="6"/>
  <c r="W46" i="6"/>
  <c r="W48" i="6"/>
  <c r="W50" i="6"/>
  <c r="W52" i="6"/>
  <c r="W54" i="6"/>
  <c r="W4" i="6"/>
  <c r="V54" i="6"/>
  <c r="V52" i="6"/>
  <c r="V50" i="6"/>
  <c r="V48" i="6"/>
  <c r="V46" i="6"/>
  <c r="V44" i="6"/>
  <c r="V42" i="6"/>
  <c r="V40" i="6"/>
  <c r="V38" i="6"/>
  <c r="V36" i="6"/>
  <c r="V34" i="6"/>
  <c r="V32" i="6"/>
  <c r="V30" i="6"/>
  <c r="V28" i="6"/>
  <c r="V26" i="6"/>
  <c r="V24" i="6"/>
  <c r="V22" i="6"/>
  <c r="V20" i="6"/>
  <c r="V18" i="6"/>
  <c r="V16" i="6"/>
  <c r="V14" i="6"/>
  <c r="V12" i="6"/>
  <c r="V10" i="6"/>
  <c r="V8" i="6"/>
  <c r="V6" i="6"/>
  <c r="V4" i="6"/>
  <c r="V2" i="6"/>
  <c r="U2" i="6"/>
  <c r="U6" i="6"/>
  <c r="U3" i="6"/>
  <c r="U54" i="6"/>
  <c r="U52" i="6"/>
  <c r="U50" i="6"/>
  <c r="U48" i="6"/>
  <c r="U46" i="6"/>
  <c r="U44" i="6"/>
  <c r="U42" i="6"/>
  <c r="U40" i="6"/>
  <c r="U38" i="6"/>
  <c r="U36" i="6"/>
  <c r="U34" i="6"/>
  <c r="U32" i="6"/>
  <c r="U30" i="6"/>
  <c r="U28" i="6"/>
  <c r="U26" i="6"/>
  <c r="U24" i="6"/>
  <c r="U22" i="6"/>
  <c r="U20" i="6"/>
  <c r="U18" i="6"/>
  <c r="U16" i="6"/>
  <c r="U14" i="6"/>
  <c r="U12" i="6"/>
  <c r="U10" i="6"/>
  <c r="U8" i="6"/>
  <c r="U4" i="6"/>
  <c r="T54" i="6"/>
  <c r="T52" i="6"/>
  <c r="T50" i="6"/>
  <c r="T48" i="6"/>
  <c r="T46" i="6"/>
  <c r="T44" i="6"/>
  <c r="T42" i="6"/>
  <c r="T40" i="6"/>
  <c r="T38" i="6"/>
  <c r="T36" i="6"/>
  <c r="T34" i="6"/>
  <c r="T32" i="6"/>
  <c r="T30" i="6"/>
  <c r="T28" i="6"/>
  <c r="T26" i="6"/>
  <c r="T24" i="6"/>
  <c r="T22" i="6"/>
  <c r="T20" i="6"/>
  <c r="T18" i="6"/>
  <c r="T16" i="6"/>
  <c r="T14" i="6"/>
  <c r="T12" i="6"/>
  <c r="T10" i="6"/>
  <c r="T8" i="6"/>
  <c r="T6" i="6"/>
  <c r="T4" i="6"/>
  <c r="T2" i="6"/>
  <c r="T3" i="6"/>
  <c r="M2" i="6"/>
  <c r="L10" i="6"/>
  <c r="L8" i="6"/>
  <c r="O8" i="6" s="1"/>
  <c r="L6" i="6"/>
  <c r="L4" i="6"/>
  <c r="O4" i="6" s="1"/>
  <c r="L2" i="6"/>
  <c r="I4" i="6"/>
  <c r="I2" i="6"/>
  <c r="I34" i="6"/>
  <c r="I8" i="6"/>
  <c r="I10" i="6"/>
  <c r="I12" i="6"/>
  <c r="I14" i="6"/>
  <c r="I16" i="6"/>
  <c r="I18" i="6"/>
  <c r="I20" i="6"/>
  <c r="I22" i="6"/>
  <c r="I24" i="6"/>
  <c r="I26" i="6"/>
  <c r="I28" i="6"/>
  <c r="I30" i="6"/>
  <c r="I32" i="6"/>
  <c r="I6" i="6"/>
  <c r="N34" i="6"/>
  <c r="N36" i="6"/>
  <c r="M36" i="6"/>
  <c r="M34" i="6"/>
  <c r="O34" i="6" s="1"/>
  <c r="N32" i="6"/>
  <c r="N30" i="6"/>
  <c r="N28" i="6"/>
  <c r="N26" i="6"/>
  <c r="N24" i="6"/>
  <c r="N22" i="6"/>
  <c r="N20" i="6"/>
  <c r="N18" i="6"/>
  <c r="N16" i="6"/>
  <c r="N14" i="6"/>
  <c r="N12" i="6"/>
  <c r="N10" i="6"/>
  <c r="N8" i="6"/>
  <c r="N6" i="6"/>
  <c r="N4" i="6"/>
  <c r="N2" i="6"/>
  <c r="M32" i="6"/>
  <c r="M30" i="6"/>
  <c r="O30" i="6" s="1"/>
  <c r="M28" i="6"/>
  <c r="M26" i="6"/>
  <c r="O26" i="6" s="1"/>
  <c r="M24" i="6"/>
  <c r="M22" i="6"/>
  <c r="O22" i="6" s="1"/>
  <c r="M20" i="6"/>
  <c r="M18" i="6"/>
  <c r="O18" i="6" s="1"/>
  <c r="M16" i="6"/>
  <c r="M14" i="6"/>
  <c r="O14" i="6" s="1"/>
  <c r="M12" i="6"/>
  <c r="M10" i="6"/>
  <c r="O10" i="6" s="1"/>
  <c r="M8" i="6"/>
  <c r="M6" i="6"/>
  <c r="O6" i="6" s="1"/>
  <c r="M4" i="6"/>
  <c r="L36" i="6"/>
  <c r="O36" i="6" s="1"/>
  <c r="L34" i="6"/>
  <c r="L32" i="6"/>
  <c r="O32" i="6" s="1"/>
  <c r="L30" i="6"/>
  <c r="L28" i="6"/>
  <c r="O28" i="6" s="1"/>
  <c r="L26" i="6"/>
  <c r="L24" i="6"/>
  <c r="O24" i="6" s="1"/>
  <c r="L22" i="6"/>
  <c r="L20" i="6"/>
  <c r="O20" i="6" s="1"/>
  <c r="L18" i="6"/>
  <c r="L16" i="6"/>
  <c r="O16" i="6" s="1"/>
  <c r="L14" i="6"/>
  <c r="L12" i="6"/>
  <c r="O12" i="6" s="1"/>
  <c r="P22" i="1"/>
  <c r="W29" i="5"/>
  <c r="N47" i="5"/>
  <c r="P4" i="5"/>
  <c r="P6" i="5"/>
  <c r="P8" i="5"/>
  <c r="P10" i="5"/>
  <c r="P12" i="5"/>
  <c r="P14" i="5"/>
  <c r="P16" i="5"/>
  <c r="P18" i="5"/>
  <c r="P20" i="5"/>
  <c r="P22" i="5"/>
  <c r="P24" i="5"/>
  <c r="P26" i="5"/>
  <c r="P28" i="5"/>
  <c r="P30" i="5"/>
  <c r="P32" i="5"/>
  <c r="P34" i="5"/>
  <c r="P36" i="5"/>
  <c r="P38" i="5"/>
  <c r="P40" i="5"/>
  <c r="P42" i="5"/>
  <c r="P44" i="5"/>
  <c r="P2" i="5"/>
  <c r="Y4" i="5"/>
  <c r="Y6" i="5"/>
  <c r="Y8" i="5"/>
  <c r="Y10" i="5"/>
  <c r="Y12" i="5"/>
  <c r="Y14" i="5"/>
  <c r="Y16" i="5"/>
  <c r="Y18" i="5"/>
  <c r="Y20" i="5"/>
  <c r="Y22" i="5"/>
  <c r="Y24" i="5"/>
  <c r="Y26" i="5"/>
  <c r="Y2" i="5"/>
  <c r="X26" i="5"/>
  <c r="X24" i="5"/>
  <c r="X22" i="5"/>
  <c r="X20" i="5"/>
  <c r="X18" i="5"/>
  <c r="X16" i="5"/>
  <c r="X14" i="5"/>
  <c r="X12" i="5"/>
  <c r="X10" i="5"/>
  <c r="X8" i="5"/>
  <c r="X6" i="5"/>
  <c r="X4" i="5"/>
  <c r="X2" i="5"/>
  <c r="W22" i="5"/>
  <c r="W26" i="5"/>
  <c r="W24" i="5"/>
  <c r="W20" i="5"/>
  <c r="W18" i="5"/>
  <c r="W16" i="5"/>
  <c r="W14" i="5"/>
  <c r="W12" i="5"/>
  <c r="W10" i="5"/>
  <c r="W8" i="5"/>
  <c r="W6" i="5"/>
  <c r="W4" i="5"/>
  <c r="W2" i="5"/>
  <c r="N3" i="5"/>
  <c r="N2" i="5"/>
  <c r="S3" i="5"/>
  <c r="S4" i="5"/>
  <c r="S5" i="5"/>
  <c r="S6" i="5"/>
  <c r="S7" i="5"/>
  <c r="S8" i="5"/>
  <c r="S9" i="5"/>
  <c r="S10" i="5"/>
  <c r="S11" i="5"/>
  <c r="S12" i="5"/>
  <c r="S13" i="5"/>
  <c r="S14" i="5"/>
  <c r="S2" i="5"/>
  <c r="Y6" i="4"/>
  <c r="X8" i="4"/>
  <c r="X26" i="4"/>
  <c r="Y26" i="4" s="1"/>
  <c r="X24" i="4"/>
  <c r="X22" i="4"/>
  <c r="Y22" i="4" s="1"/>
  <c r="X20" i="4"/>
  <c r="X18" i="4"/>
  <c r="Y18" i="4" s="1"/>
  <c r="X16" i="4"/>
  <c r="X14" i="4"/>
  <c r="Y14" i="4" s="1"/>
  <c r="X12" i="4"/>
  <c r="X10" i="4"/>
  <c r="Y10" i="4" s="1"/>
  <c r="X6" i="4"/>
  <c r="X4" i="4"/>
  <c r="X28" i="4"/>
  <c r="W28" i="4"/>
  <c r="Y28" i="4" s="1"/>
  <c r="W26" i="4"/>
  <c r="W24" i="4"/>
  <c r="Y24" i="4" s="1"/>
  <c r="W22" i="4"/>
  <c r="W20" i="4"/>
  <c r="Y20" i="4" s="1"/>
  <c r="W18" i="4"/>
  <c r="W16" i="4"/>
  <c r="Y16" i="4" s="1"/>
  <c r="W14" i="4"/>
  <c r="W12" i="4"/>
  <c r="Y12" i="4" s="1"/>
  <c r="W10" i="4"/>
  <c r="W8" i="4"/>
  <c r="Y8" i="4" s="1"/>
  <c r="W6" i="4"/>
  <c r="W4" i="4"/>
  <c r="Y4" i="4" s="1"/>
  <c r="S3" i="4"/>
  <c r="S2" i="4"/>
  <c r="S4" i="4"/>
  <c r="S5" i="4"/>
  <c r="S6" i="4"/>
  <c r="S7" i="4"/>
  <c r="S8" i="4"/>
  <c r="S9" i="4"/>
  <c r="S10" i="4"/>
  <c r="S11" i="4"/>
  <c r="S12" i="4"/>
  <c r="S13" i="4"/>
  <c r="S14" i="4"/>
  <c r="S15" i="4"/>
  <c r="O44" i="5"/>
  <c r="O42" i="5"/>
  <c r="O40" i="5"/>
  <c r="O38" i="5"/>
  <c r="O36" i="5"/>
  <c r="O34" i="5"/>
  <c r="O32" i="5"/>
  <c r="O30" i="5"/>
  <c r="O28" i="5"/>
  <c r="O26" i="5"/>
  <c r="O24" i="5"/>
  <c r="O22" i="5"/>
  <c r="O20" i="5"/>
  <c r="O18" i="5"/>
  <c r="O16" i="5"/>
  <c r="O14" i="5"/>
  <c r="O12" i="5"/>
  <c r="O10" i="5"/>
  <c r="O8" i="5"/>
  <c r="O6" i="5"/>
  <c r="O4" i="5"/>
  <c r="O2" i="5"/>
  <c r="N44" i="5"/>
  <c r="N42" i="5"/>
  <c r="N40" i="5"/>
  <c r="N38" i="5"/>
  <c r="N36" i="5"/>
  <c r="N34" i="5"/>
  <c r="N32" i="5"/>
  <c r="N30" i="5"/>
  <c r="N28" i="5"/>
  <c r="N26" i="5"/>
  <c r="N24" i="5"/>
  <c r="N22" i="5"/>
  <c r="N20" i="5"/>
  <c r="N18" i="5"/>
  <c r="N16" i="5"/>
  <c r="N14" i="5"/>
  <c r="N12" i="5"/>
  <c r="N10" i="5"/>
  <c r="N8" i="5"/>
  <c r="N6" i="5"/>
  <c r="N4" i="5"/>
  <c r="N2" i="4"/>
  <c r="J3" i="5"/>
  <c r="J4" i="5"/>
  <c r="J5" i="5"/>
  <c r="J6" i="5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" i="5"/>
  <c r="AB2" i="4"/>
  <c r="AF2" i="4"/>
  <c r="AH2" i="4" s="1"/>
  <c r="AG2" i="4"/>
  <c r="AB3" i="4"/>
  <c r="AG3" i="4"/>
  <c r="AG4" i="4" s="1"/>
  <c r="AB4" i="4"/>
  <c r="AF4" i="4"/>
  <c r="AB5" i="4"/>
  <c r="AB6" i="4"/>
  <c r="AF6" i="4"/>
  <c r="AB7" i="4"/>
  <c r="AB8" i="4"/>
  <c r="AF8" i="4"/>
  <c r="AB9" i="4"/>
  <c r="AB10" i="4"/>
  <c r="AF10" i="4"/>
  <c r="AB11" i="4"/>
  <c r="AB12" i="4"/>
  <c r="AF12" i="4"/>
  <c r="AB13" i="4"/>
  <c r="AB14" i="4"/>
  <c r="AF14" i="4"/>
  <c r="AB15" i="4"/>
  <c r="AB16" i="4"/>
  <c r="AF16" i="4"/>
  <c r="AB17" i="4"/>
  <c r="AB18" i="4"/>
  <c r="AF18" i="4"/>
  <c r="AB19" i="4"/>
  <c r="AB20" i="4"/>
  <c r="AF20" i="4"/>
  <c r="AG20" i="4"/>
  <c r="AB21" i="4"/>
  <c r="AG21" i="4"/>
  <c r="AB22" i="4"/>
  <c r="AF22" i="4"/>
  <c r="AG22" i="4"/>
  <c r="AH22" i="4" s="1"/>
  <c r="AB23" i="4"/>
  <c r="AB24" i="4"/>
  <c r="AF24" i="4"/>
  <c r="AG24" i="4"/>
  <c r="AB25" i="4"/>
  <c r="AB26" i="4"/>
  <c r="AF26" i="4"/>
  <c r="AG26" i="4"/>
  <c r="AH26" i="4"/>
  <c r="AB27" i="4"/>
  <c r="AF28" i="4"/>
  <c r="AH28" i="4" s="1"/>
  <c r="AG28" i="4"/>
  <c r="AF30" i="4"/>
  <c r="AG30" i="4"/>
  <c r="AF32" i="4"/>
  <c r="AH32" i="4" s="1"/>
  <c r="AG32" i="4"/>
  <c r="AF34" i="4"/>
  <c r="AG34" i="4"/>
  <c r="AF36" i="4"/>
  <c r="AG36" i="4"/>
  <c r="AH36" i="4"/>
  <c r="AF38" i="4"/>
  <c r="AG38" i="4"/>
  <c r="AG39" i="4" s="1"/>
  <c r="AF40" i="4"/>
  <c r="AG40" i="4"/>
  <c r="AG41" i="4"/>
  <c r="AF42" i="4"/>
  <c r="AG42" i="4"/>
  <c r="AG43" i="4" s="1"/>
  <c r="AF44" i="4"/>
  <c r="AG44" i="4"/>
  <c r="AG45" i="4"/>
  <c r="AF46" i="4"/>
  <c r="AG46" i="4"/>
  <c r="AG47" i="4" s="1"/>
  <c r="AF48" i="4"/>
  <c r="AG48" i="4"/>
  <c r="AG49" i="4"/>
  <c r="AF50" i="4"/>
  <c r="AG50" i="4"/>
  <c r="AG51" i="4" s="1"/>
  <c r="AF52" i="4"/>
  <c r="AG52" i="4"/>
  <c r="AG53" i="4"/>
  <c r="AP2" i="4"/>
  <c r="AP4" i="4"/>
  <c r="AQ4" i="4" s="1"/>
  <c r="AP6" i="4"/>
  <c r="AP8" i="4"/>
  <c r="AQ8" i="4" s="1"/>
  <c r="AP10" i="4"/>
  <c r="AP12" i="4"/>
  <c r="AQ12" i="4" s="1"/>
  <c r="AP14" i="4"/>
  <c r="AP16" i="4"/>
  <c r="AQ16" i="4" s="1"/>
  <c r="AP18" i="4"/>
  <c r="AP20" i="4"/>
  <c r="AQ20" i="4" s="1"/>
  <c r="AP22" i="4"/>
  <c r="AP24" i="4"/>
  <c r="AQ24" i="4" s="1"/>
  <c r="AP26" i="4"/>
  <c r="AP28" i="4"/>
  <c r="AQ28" i="4" s="1"/>
  <c r="AP30" i="4"/>
  <c r="AO30" i="4"/>
  <c r="AQ30" i="4" s="1"/>
  <c r="AO28" i="4"/>
  <c r="AO26" i="4"/>
  <c r="AQ26" i="4" s="1"/>
  <c r="AO24" i="4"/>
  <c r="AO22" i="4"/>
  <c r="AQ22" i="4" s="1"/>
  <c r="AO20" i="4"/>
  <c r="AO18" i="4"/>
  <c r="AQ18" i="4" s="1"/>
  <c r="AO16" i="4"/>
  <c r="AO14" i="4"/>
  <c r="AQ14" i="4" s="1"/>
  <c r="AO12" i="4"/>
  <c r="AO10" i="4"/>
  <c r="AQ10" i="4" s="1"/>
  <c r="AO8" i="4"/>
  <c r="AO6" i="4"/>
  <c r="AQ6" i="4" s="1"/>
  <c r="AO4" i="4"/>
  <c r="AO2" i="4"/>
  <c r="AQ2" i="4" s="1"/>
  <c r="AO33" i="4" s="1"/>
  <c r="AK3" i="4"/>
  <c r="AK4" i="4"/>
  <c r="AK5" i="4"/>
  <c r="AK6" i="4"/>
  <c r="AK7" i="4"/>
  <c r="AK8" i="4"/>
  <c r="AK9" i="4"/>
  <c r="AK10" i="4"/>
  <c r="AK11" i="4"/>
  <c r="AK12" i="4"/>
  <c r="AK13" i="4"/>
  <c r="AK14" i="4"/>
  <c r="AK15" i="4"/>
  <c r="AK16" i="4"/>
  <c r="AK2" i="4"/>
  <c r="W2" i="4"/>
  <c r="Y2" i="4" s="1"/>
  <c r="W31" i="4" s="1"/>
  <c r="X2" i="4"/>
  <c r="O2" i="4"/>
  <c r="P2" i="4" s="1"/>
  <c r="AD39" i="1"/>
  <c r="AD40" i="1"/>
  <c r="AD41" i="1"/>
  <c r="AD42" i="1"/>
  <c r="O52" i="4"/>
  <c r="O50" i="4"/>
  <c r="O48" i="4"/>
  <c r="O46" i="4"/>
  <c r="O44" i="4"/>
  <c r="O42" i="4"/>
  <c r="O40" i="4"/>
  <c r="O38" i="4"/>
  <c r="O36" i="4"/>
  <c r="O34" i="4"/>
  <c r="O32" i="4"/>
  <c r="O30" i="4"/>
  <c r="O28" i="4"/>
  <c r="O26" i="4"/>
  <c r="O24" i="4"/>
  <c r="O22" i="4"/>
  <c r="O20" i="4"/>
  <c r="O18" i="4"/>
  <c r="O16" i="4"/>
  <c r="O14" i="4"/>
  <c r="O12" i="4"/>
  <c r="O8" i="4"/>
  <c r="O10" i="4"/>
  <c r="O6" i="4"/>
  <c r="O4" i="4"/>
  <c r="N52" i="4"/>
  <c r="P52" i="4" s="1"/>
  <c r="N50" i="4"/>
  <c r="P50" i="4" s="1"/>
  <c r="N48" i="4"/>
  <c r="P48" i="4" s="1"/>
  <c r="N46" i="4"/>
  <c r="P46" i="4" s="1"/>
  <c r="N44" i="4"/>
  <c r="P44" i="4" s="1"/>
  <c r="N42" i="4"/>
  <c r="P42" i="4" s="1"/>
  <c r="N40" i="4"/>
  <c r="P40" i="4" s="1"/>
  <c r="N38" i="4"/>
  <c r="P38" i="4" s="1"/>
  <c r="N36" i="4"/>
  <c r="P36" i="4" s="1"/>
  <c r="N34" i="4"/>
  <c r="P34" i="4" s="1"/>
  <c r="N32" i="4"/>
  <c r="P32" i="4" s="1"/>
  <c r="N30" i="4"/>
  <c r="P30" i="4" s="1"/>
  <c r="N28" i="4"/>
  <c r="P28" i="4" s="1"/>
  <c r="N26" i="4"/>
  <c r="P26" i="4" s="1"/>
  <c r="N24" i="4"/>
  <c r="P24" i="4" s="1"/>
  <c r="N22" i="4"/>
  <c r="P22" i="4" s="1"/>
  <c r="N20" i="4"/>
  <c r="P20" i="4" s="1"/>
  <c r="N18" i="4"/>
  <c r="P18" i="4" s="1"/>
  <c r="N16" i="4"/>
  <c r="P16" i="4" s="1"/>
  <c r="N14" i="4"/>
  <c r="P14" i="4" s="1"/>
  <c r="N12" i="4"/>
  <c r="P12" i="4" s="1"/>
  <c r="N10" i="4"/>
  <c r="P10" i="4" s="1"/>
  <c r="N8" i="4"/>
  <c r="P8" i="4" s="1"/>
  <c r="N6" i="4"/>
  <c r="P6" i="4" s="1"/>
  <c r="N4" i="4"/>
  <c r="P4" i="4" s="1"/>
  <c r="N5" i="4"/>
  <c r="N3" i="4"/>
  <c r="J3" i="4"/>
  <c r="J4" i="4"/>
  <c r="J5" i="4"/>
  <c r="J6" i="4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" i="4"/>
  <c r="I20" i="4"/>
  <c r="I21" i="4"/>
  <c r="I16" i="4"/>
  <c r="I17" i="4"/>
  <c r="I18" i="4" s="1"/>
  <c r="I19" i="4" s="1"/>
  <c r="I12" i="4"/>
  <c r="I13" i="4"/>
  <c r="I14" i="4" s="1"/>
  <c r="I15" i="4" s="1"/>
  <c r="I11" i="4"/>
  <c r="AU4" i="1"/>
  <c r="K19" i="13" l="1"/>
  <c r="K20" i="13"/>
  <c r="I20" i="13"/>
  <c r="I19" i="13"/>
  <c r="J20" i="13"/>
  <c r="J19" i="13"/>
  <c r="M39" i="6"/>
  <c r="M55" i="4"/>
  <c r="AH52" i="4"/>
  <c r="AH48" i="4"/>
  <c r="AH44" i="4"/>
  <c r="AH40" i="4"/>
  <c r="AH34" i="4"/>
  <c r="AH30" i="4"/>
  <c r="AH24" i="4"/>
  <c r="AH20" i="4"/>
  <c r="AH50" i="4"/>
  <c r="AH46" i="4"/>
  <c r="AH42" i="4"/>
  <c r="AH38" i="4"/>
  <c r="AG5" i="4"/>
  <c r="AG6" i="4" s="1"/>
  <c r="AU16" i="1"/>
  <c r="AU20" i="1"/>
  <c r="AU24" i="1"/>
  <c r="AU32" i="1"/>
  <c r="AU36" i="1"/>
  <c r="AU40" i="1"/>
  <c r="P2" i="1"/>
  <c r="O2" i="1"/>
  <c r="N2" i="1"/>
  <c r="AI76" i="1"/>
  <c r="AI74" i="1"/>
  <c r="AI66" i="1"/>
  <c r="AI64" i="1"/>
  <c r="AI62" i="1"/>
  <c r="AH48" i="1"/>
  <c r="AH38" i="1"/>
  <c r="AH82" i="1"/>
  <c r="AH84" i="1"/>
  <c r="AH36" i="1"/>
  <c r="AS42" i="1"/>
  <c r="AS40" i="1"/>
  <c r="AS38" i="1"/>
  <c r="AS36" i="1"/>
  <c r="AR28" i="1"/>
  <c r="AU28" i="1" s="1"/>
  <c r="AR20" i="1"/>
  <c r="AR18" i="1"/>
  <c r="AR16" i="1"/>
  <c r="AT42" i="1"/>
  <c r="AT40" i="1"/>
  <c r="AT38" i="1"/>
  <c r="AT36" i="1"/>
  <c r="AT34" i="1"/>
  <c r="AT32" i="1"/>
  <c r="AT30" i="1"/>
  <c r="AT28" i="1"/>
  <c r="AT26" i="1"/>
  <c r="AT24" i="1"/>
  <c r="AT22" i="1"/>
  <c r="AT20" i="1"/>
  <c r="AT18" i="1"/>
  <c r="AT16" i="1"/>
  <c r="AT14" i="1"/>
  <c r="AT12" i="1"/>
  <c r="AT10" i="1"/>
  <c r="AT8" i="1"/>
  <c r="AT6" i="1"/>
  <c r="AT4" i="1"/>
  <c r="AT2" i="1"/>
  <c r="AS2" i="1"/>
  <c r="AS34" i="1"/>
  <c r="AU34" i="1" s="1"/>
  <c r="AS32" i="1"/>
  <c r="AS30" i="1"/>
  <c r="AU30" i="1" s="1"/>
  <c r="AS28" i="1"/>
  <c r="AS26" i="1"/>
  <c r="AU26" i="1" s="1"/>
  <c r="AS24" i="1"/>
  <c r="AS22" i="1"/>
  <c r="AU22" i="1" s="1"/>
  <c r="AS20" i="1"/>
  <c r="AS18" i="1"/>
  <c r="AS16" i="1"/>
  <c r="AS14" i="1"/>
  <c r="AS12" i="1"/>
  <c r="AS10" i="1"/>
  <c r="AS8" i="1"/>
  <c r="AS6" i="1"/>
  <c r="AS4" i="1"/>
  <c r="AR2" i="1"/>
  <c r="AU2" i="1" s="1"/>
  <c r="AR14" i="1"/>
  <c r="AR12" i="1"/>
  <c r="AU12" i="1" s="1"/>
  <c r="AR10" i="1"/>
  <c r="AR8" i="1"/>
  <c r="AU8" i="1" s="1"/>
  <c r="AR6" i="1"/>
  <c r="AR4" i="1"/>
  <c r="AH2" i="1"/>
  <c r="AN3" i="1"/>
  <c r="AN4" i="1"/>
  <c r="AN5" i="1"/>
  <c r="AN6" i="1"/>
  <c r="AN7" i="1"/>
  <c r="AM9" i="1"/>
  <c r="AN8" i="1" s="1"/>
  <c r="AI26" i="1"/>
  <c r="AH24" i="1"/>
  <c r="AH12" i="1"/>
  <c r="AH10" i="1"/>
  <c r="AH8" i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" i="1"/>
  <c r="AC23" i="1"/>
  <c r="AD22" i="1" s="1"/>
  <c r="X44" i="1"/>
  <c r="X20" i="1"/>
  <c r="X18" i="1"/>
  <c r="X12" i="1"/>
  <c r="X11" i="1"/>
  <c r="X10" i="1"/>
  <c r="X9" i="1"/>
  <c r="X8" i="1"/>
  <c r="X7" i="1"/>
  <c r="X6" i="1"/>
  <c r="X5" i="1"/>
  <c r="X4" i="1"/>
  <c r="X3" i="1"/>
  <c r="X2" i="1"/>
  <c r="T3" i="1"/>
  <c r="S4" i="1"/>
  <c r="N5" i="1"/>
  <c r="N4" i="1"/>
  <c r="J34" i="1"/>
  <c r="J35" i="1"/>
  <c r="G3" i="1"/>
  <c r="J23" i="13" l="1"/>
  <c r="J24" i="13"/>
  <c r="I24" i="13"/>
  <c r="I23" i="13"/>
  <c r="K21" i="13"/>
  <c r="K22" i="13"/>
  <c r="J21" i="13"/>
  <c r="J22" i="13"/>
  <c r="I22" i="13"/>
  <c r="I21" i="13"/>
  <c r="K23" i="13"/>
  <c r="K24" i="13"/>
  <c r="AH4" i="4"/>
  <c r="AU18" i="1"/>
  <c r="AU38" i="1"/>
  <c r="AU42" i="1"/>
  <c r="AU6" i="1"/>
  <c r="AT47" i="1" s="1"/>
  <c r="AU10" i="1"/>
  <c r="AU14" i="1"/>
  <c r="AG7" i="4"/>
  <c r="AG8" i="4" s="1"/>
  <c r="G4" i="1"/>
  <c r="AC24" i="1"/>
  <c r="AM10" i="1"/>
  <c r="S5" i="1"/>
  <c r="AN2" i="1"/>
  <c r="AJ54" i="1"/>
  <c r="AJ56" i="1"/>
  <c r="AJ58" i="1"/>
  <c r="AJ60" i="1"/>
  <c r="AJ62" i="1"/>
  <c r="AK62" i="1" s="1"/>
  <c r="AJ84" i="1"/>
  <c r="AK84" i="1" s="1"/>
  <c r="AJ82" i="1"/>
  <c r="AK82" i="1" s="1"/>
  <c r="AJ80" i="1"/>
  <c r="AK80" i="1" s="1"/>
  <c r="AJ78" i="1"/>
  <c r="AK78" i="1" s="1"/>
  <c r="AJ76" i="1"/>
  <c r="AK76" i="1" s="1"/>
  <c r="AJ74" i="1"/>
  <c r="AK74" i="1" s="1"/>
  <c r="AJ72" i="1"/>
  <c r="AK72" i="1" s="1"/>
  <c r="AJ70" i="1"/>
  <c r="AK70" i="1" s="1"/>
  <c r="AJ68" i="1"/>
  <c r="AK68" i="1" s="1"/>
  <c r="AJ66" i="1"/>
  <c r="AK66" i="1" s="1"/>
  <c r="AJ64" i="1"/>
  <c r="AK64" i="1" s="1"/>
  <c r="AJ48" i="1"/>
  <c r="AI60" i="1"/>
  <c r="AK60" i="1" s="1"/>
  <c r="AI58" i="1"/>
  <c r="AK58" i="1" s="1"/>
  <c r="AJ52" i="1"/>
  <c r="AJ50" i="1"/>
  <c r="AJ46" i="1"/>
  <c r="AJ44" i="1"/>
  <c r="AJ42" i="1"/>
  <c r="AJ40" i="1"/>
  <c r="AJ38" i="1"/>
  <c r="AJ36" i="1"/>
  <c r="AJ34" i="1"/>
  <c r="AJ32" i="1"/>
  <c r="AJ30" i="1"/>
  <c r="AI56" i="1"/>
  <c r="AK56" i="1" s="1"/>
  <c r="AI54" i="1"/>
  <c r="AI52" i="1"/>
  <c r="AK52" i="1" s="1"/>
  <c r="AI50" i="1"/>
  <c r="AI48" i="1"/>
  <c r="AK48" i="1" s="1"/>
  <c r="AI46" i="1"/>
  <c r="AK46" i="1" s="1"/>
  <c r="AI44" i="1"/>
  <c r="AK44" i="1" s="1"/>
  <c r="AI42" i="1"/>
  <c r="AK42" i="1" s="1"/>
  <c r="AI40" i="1"/>
  <c r="AK40" i="1" s="1"/>
  <c r="AI38" i="1"/>
  <c r="AK38" i="1" s="1"/>
  <c r="AI36" i="1"/>
  <c r="AK36" i="1" s="1"/>
  <c r="AI34" i="1"/>
  <c r="AI32" i="1"/>
  <c r="AI30" i="1"/>
  <c r="AJ28" i="1"/>
  <c r="AJ26" i="1"/>
  <c r="AJ24" i="1"/>
  <c r="AJ22" i="1"/>
  <c r="AJ20" i="1"/>
  <c r="AJ18" i="1"/>
  <c r="AJ16" i="1"/>
  <c r="AJ14" i="1"/>
  <c r="AJ12" i="1"/>
  <c r="AJ10" i="1"/>
  <c r="AJ8" i="1"/>
  <c r="AJ6" i="1"/>
  <c r="AJ4" i="1"/>
  <c r="AJ2" i="1"/>
  <c r="AI28" i="1"/>
  <c r="AI24" i="1"/>
  <c r="AI22" i="1"/>
  <c r="AI20" i="1"/>
  <c r="AI18" i="1"/>
  <c r="AI16" i="1"/>
  <c r="AI14" i="1"/>
  <c r="AI12" i="1"/>
  <c r="AI10" i="1"/>
  <c r="AK10" i="1" s="1"/>
  <c r="AI8" i="1"/>
  <c r="AI6" i="1"/>
  <c r="AI4" i="1"/>
  <c r="AI2" i="1"/>
  <c r="AK2" i="1" s="1"/>
  <c r="AH34" i="1"/>
  <c r="AK34" i="1" s="1"/>
  <c r="AH32" i="1"/>
  <c r="AK32" i="1" s="1"/>
  <c r="AH30" i="1"/>
  <c r="AK30" i="1" s="1"/>
  <c r="AH28" i="1"/>
  <c r="AK28" i="1" s="1"/>
  <c r="AH26" i="1"/>
  <c r="AK26" i="1" s="1"/>
  <c r="AH22" i="1"/>
  <c r="AH20" i="1"/>
  <c r="AH18" i="1"/>
  <c r="AK18" i="1" s="1"/>
  <c r="AH16" i="1"/>
  <c r="AH14" i="1"/>
  <c r="AK14" i="1" s="1"/>
  <c r="AH6" i="1"/>
  <c r="AH4" i="1"/>
  <c r="AK4" i="1" s="1"/>
  <c r="Z42" i="1"/>
  <c r="Z44" i="1"/>
  <c r="Z40" i="1"/>
  <c r="Z38" i="1"/>
  <c r="Z36" i="1"/>
  <c r="Z34" i="1"/>
  <c r="Z32" i="1"/>
  <c r="Z30" i="1"/>
  <c r="Z28" i="1"/>
  <c r="Z26" i="1"/>
  <c r="Z24" i="1"/>
  <c r="Z22" i="1"/>
  <c r="Z20" i="1"/>
  <c r="Z18" i="1"/>
  <c r="Z16" i="1"/>
  <c r="Z14" i="1"/>
  <c r="Z12" i="1"/>
  <c r="Z10" i="1"/>
  <c r="Z8" i="1"/>
  <c r="Z6" i="1"/>
  <c r="Z4" i="1"/>
  <c r="Z2" i="1"/>
  <c r="Y44" i="1"/>
  <c r="AA44" i="1" s="1"/>
  <c r="Y42" i="1"/>
  <c r="Y40" i="1"/>
  <c r="Y38" i="1"/>
  <c r="Y36" i="1"/>
  <c r="Y34" i="1"/>
  <c r="Y32" i="1"/>
  <c r="Y30" i="1"/>
  <c r="Y28" i="1"/>
  <c r="Y26" i="1"/>
  <c r="Y24" i="1"/>
  <c r="Y22" i="1"/>
  <c r="Y20" i="1"/>
  <c r="AA20" i="1" s="1"/>
  <c r="Y18" i="1"/>
  <c r="Y19" i="1" s="1"/>
  <c r="Y16" i="1"/>
  <c r="Y17" i="1" s="1"/>
  <c r="Y14" i="1"/>
  <c r="Y15" i="1" s="1"/>
  <c r="Y12" i="1"/>
  <c r="Y10" i="1"/>
  <c r="Y11" i="1" s="1"/>
  <c r="Y8" i="1"/>
  <c r="Y6" i="1"/>
  <c r="Y7" i="1" s="1"/>
  <c r="Y4" i="1"/>
  <c r="Y2" i="1"/>
  <c r="Y3" i="1" s="1"/>
  <c r="X42" i="1"/>
  <c r="X40" i="1"/>
  <c r="X38" i="1"/>
  <c r="X36" i="1"/>
  <c r="X34" i="1"/>
  <c r="X32" i="1"/>
  <c r="X30" i="1"/>
  <c r="X28" i="1"/>
  <c r="X26" i="1"/>
  <c r="X24" i="1"/>
  <c r="X22" i="1"/>
  <c r="X16" i="1"/>
  <c r="X14" i="1"/>
  <c r="T2" i="1"/>
  <c r="AK22" i="1" l="1"/>
  <c r="AK8" i="1"/>
  <c r="AK12" i="1"/>
  <c r="AK24" i="1"/>
  <c r="AA16" i="1"/>
  <c r="AA24" i="1"/>
  <c r="AA28" i="1"/>
  <c r="AA32" i="1"/>
  <c r="AA36" i="1"/>
  <c r="AA40" i="1"/>
  <c r="AA6" i="1"/>
  <c r="AA18" i="1"/>
  <c r="AA14" i="1"/>
  <c r="AA22" i="1"/>
  <c r="AA26" i="1"/>
  <c r="AA30" i="1"/>
  <c r="AA34" i="1"/>
  <c r="AA38" i="1"/>
  <c r="AA42" i="1"/>
  <c r="Y5" i="1"/>
  <c r="AA4" i="1" s="1"/>
  <c r="Y9" i="1"/>
  <c r="AA8" i="1" s="1"/>
  <c r="Y13" i="1"/>
  <c r="AA12" i="1" s="1"/>
  <c r="AK6" i="1"/>
  <c r="AK16" i="1"/>
  <c r="AK20" i="1"/>
  <c r="AK50" i="1"/>
  <c r="AK54" i="1"/>
  <c r="AA10" i="1"/>
  <c r="AA2" i="1"/>
  <c r="AG9" i="4"/>
  <c r="AG10" i="4" s="1"/>
  <c r="AH6" i="4"/>
  <c r="S6" i="1"/>
  <c r="AN10" i="1"/>
  <c r="AM11" i="1"/>
  <c r="AD24" i="1"/>
  <c r="AC25" i="1"/>
  <c r="G5" i="1"/>
  <c r="J4" i="1" s="1"/>
  <c r="AN9" i="1"/>
  <c r="AD23" i="1"/>
  <c r="T4" i="1"/>
  <c r="J3" i="1"/>
  <c r="P29" i="1"/>
  <c r="P28" i="1"/>
  <c r="P18" i="1"/>
  <c r="P19" i="1"/>
  <c r="P68" i="1"/>
  <c r="P67" i="1"/>
  <c r="P66" i="1"/>
  <c r="P65" i="1"/>
  <c r="P64" i="1"/>
  <c r="P61" i="1"/>
  <c r="P62" i="1"/>
  <c r="P63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7" i="1"/>
  <c r="P26" i="1"/>
  <c r="P25" i="1"/>
  <c r="P24" i="1"/>
  <c r="P23" i="1"/>
  <c r="P21" i="1"/>
  <c r="P20" i="1"/>
  <c r="P17" i="1"/>
  <c r="P16" i="1"/>
  <c r="P15" i="1"/>
  <c r="P14" i="1"/>
  <c r="P13" i="1"/>
  <c r="P12" i="1"/>
  <c r="P11" i="1"/>
  <c r="P10" i="1"/>
  <c r="P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8" i="1"/>
  <c r="O27" i="1"/>
  <c r="O26" i="1"/>
  <c r="O25" i="1"/>
  <c r="O24" i="1"/>
  <c r="O23" i="1"/>
  <c r="O22" i="1"/>
  <c r="O21" i="1"/>
  <c r="O20" i="1"/>
  <c r="O19" i="1"/>
  <c r="O17" i="1"/>
  <c r="O16" i="1"/>
  <c r="O15" i="1"/>
  <c r="O14" i="1"/>
  <c r="O13" i="1"/>
  <c r="O11" i="1"/>
  <c r="O10" i="1"/>
  <c r="O9" i="1"/>
  <c r="P8" i="1"/>
  <c r="P7" i="1"/>
  <c r="P6" i="1"/>
  <c r="P5" i="1"/>
  <c r="P4" i="1"/>
  <c r="O8" i="1"/>
  <c r="O7" i="1"/>
  <c r="O6" i="1"/>
  <c r="O5" i="1"/>
  <c r="O4" i="1"/>
  <c r="P3" i="1"/>
  <c r="O3" i="1"/>
  <c r="AI89" i="1" l="1"/>
  <c r="Q4" i="1"/>
  <c r="Y48" i="1"/>
  <c r="AG11" i="4"/>
  <c r="AG12" i="4" s="1"/>
  <c r="AH8" i="4"/>
  <c r="AC26" i="1"/>
  <c r="AD25" i="1"/>
  <c r="AM12" i="1"/>
  <c r="AN11" i="1"/>
  <c r="S7" i="1"/>
  <c r="T6" i="1"/>
  <c r="G6" i="1"/>
  <c r="T5" i="1"/>
  <c r="N68" i="1"/>
  <c r="Q68" i="1" s="1"/>
  <c r="N66" i="1"/>
  <c r="Q66" i="1" s="1"/>
  <c r="N64" i="1"/>
  <c r="Q64" i="1" s="1"/>
  <c r="N62" i="1"/>
  <c r="Q62" i="1" s="1"/>
  <c r="N60" i="1"/>
  <c r="Q60" i="1" s="1"/>
  <c r="N58" i="1"/>
  <c r="Q58" i="1" s="1"/>
  <c r="N56" i="1"/>
  <c r="Q56" i="1" s="1"/>
  <c r="N54" i="1"/>
  <c r="Q54" i="1" s="1"/>
  <c r="N52" i="1"/>
  <c r="Q52" i="1" s="1"/>
  <c r="N50" i="1"/>
  <c r="Q50" i="1" s="1"/>
  <c r="N48" i="1"/>
  <c r="Q48" i="1" s="1"/>
  <c r="N46" i="1"/>
  <c r="Q46" i="1" s="1"/>
  <c r="N44" i="1"/>
  <c r="Q44" i="1" s="1"/>
  <c r="N40" i="1"/>
  <c r="Q40" i="1" s="1"/>
  <c r="N42" i="1"/>
  <c r="Q42" i="1" s="1"/>
  <c r="N38" i="1"/>
  <c r="Q38" i="1" s="1"/>
  <c r="N36" i="1"/>
  <c r="Q36" i="1" s="1"/>
  <c r="N32" i="1"/>
  <c r="Q32" i="1" s="1"/>
  <c r="N34" i="1"/>
  <c r="Q34" i="1" s="1"/>
  <c r="N30" i="1"/>
  <c r="Q30" i="1" s="1"/>
  <c r="N28" i="1"/>
  <c r="Q28" i="1" s="1"/>
  <c r="N27" i="1"/>
  <c r="Q26" i="1" s="1"/>
  <c r="N25" i="1"/>
  <c r="Q24" i="1" s="1"/>
  <c r="N23" i="1"/>
  <c r="Q22" i="1" s="1"/>
  <c r="N21" i="1"/>
  <c r="Q20" i="1" s="1"/>
  <c r="N19" i="1"/>
  <c r="Q18" i="1" s="1"/>
  <c r="N17" i="1"/>
  <c r="N16" i="1"/>
  <c r="N15" i="1"/>
  <c r="N14" i="1"/>
  <c r="N13" i="1"/>
  <c r="N12" i="1"/>
  <c r="N11" i="1"/>
  <c r="N10" i="1"/>
  <c r="N9" i="1"/>
  <c r="N8" i="1"/>
  <c r="N7" i="1"/>
  <c r="N6" i="1"/>
  <c r="N35" i="1"/>
  <c r="N33" i="1"/>
  <c r="N3" i="1"/>
  <c r="Q2" i="1" s="1"/>
  <c r="Q6" i="1" l="1"/>
  <c r="Q8" i="1"/>
  <c r="Q10" i="1"/>
  <c r="Q12" i="1"/>
  <c r="Q14" i="1"/>
  <c r="Q16" i="1"/>
  <c r="AG13" i="4"/>
  <c r="AG14" i="4" s="1"/>
  <c r="AH10" i="4"/>
  <c r="G7" i="1"/>
  <c r="J6" i="1"/>
  <c r="J5" i="1"/>
  <c r="S8" i="1"/>
  <c r="AM13" i="1"/>
  <c r="AN12" i="1"/>
  <c r="AC27" i="1"/>
  <c r="AD26" i="1"/>
  <c r="J2" i="1"/>
  <c r="O74" i="1" l="1"/>
  <c r="AH12" i="4"/>
  <c r="AG15" i="4"/>
  <c r="AG16" i="4" s="1"/>
  <c r="AC28" i="1"/>
  <c r="AD27" i="1"/>
  <c r="AM14" i="1"/>
  <c r="AN13" i="1"/>
  <c r="S9" i="1"/>
  <c r="T7" i="1"/>
  <c r="J7" i="1"/>
  <c r="G8" i="1"/>
  <c r="AG17" i="4" l="1"/>
  <c r="AG18" i="4" s="1"/>
  <c r="AH14" i="4"/>
  <c r="S10" i="1"/>
  <c r="G9" i="1"/>
  <c r="J8" i="1" s="1"/>
  <c r="T8" i="1"/>
  <c r="AM15" i="1"/>
  <c r="AN14" i="1"/>
  <c r="AC29" i="1"/>
  <c r="AD28" i="1"/>
  <c r="AG19" i="4" l="1"/>
  <c r="AH18" i="4" s="1"/>
  <c r="AF55" i="4" s="1"/>
  <c r="AH16" i="4"/>
  <c r="AC30" i="1"/>
  <c r="AD29" i="1"/>
  <c r="AM16" i="1"/>
  <c r="AN15" i="1"/>
  <c r="S11" i="1"/>
  <c r="T10" i="1"/>
  <c r="G10" i="1"/>
  <c r="J9" i="1"/>
  <c r="T9" i="1"/>
  <c r="G11" i="1" l="1"/>
  <c r="J10" i="1"/>
  <c r="S12" i="1"/>
  <c r="T11" i="1"/>
  <c r="AM17" i="1"/>
  <c r="AN16" i="1"/>
  <c r="AC31" i="1"/>
  <c r="AD30" i="1"/>
  <c r="AC32" i="1" l="1"/>
  <c r="AD31" i="1"/>
  <c r="AM18" i="1"/>
  <c r="AN17" i="1"/>
  <c r="S13" i="1"/>
  <c r="T12" i="1"/>
  <c r="G12" i="1"/>
  <c r="J11" i="1"/>
  <c r="G13" i="1" l="1"/>
  <c r="J12" i="1"/>
  <c r="S14" i="1"/>
  <c r="T13" i="1"/>
  <c r="AM19" i="1"/>
  <c r="AC33" i="1"/>
  <c r="AD32" i="1"/>
  <c r="AM20" i="1" l="1"/>
  <c r="AN19" i="1"/>
  <c r="AC34" i="1"/>
  <c r="AD33" i="1"/>
  <c r="AN18" i="1"/>
  <c r="S15" i="1"/>
  <c r="G14" i="1"/>
  <c r="G15" i="1" l="1"/>
  <c r="J14" i="1"/>
  <c r="S16" i="1"/>
  <c r="T15" i="1"/>
  <c r="J13" i="1"/>
  <c r="T14" i="1"/>
  <c r="AC35" i="1"/>
  <c r="AM21" i="1"/>
  <c r="AN20" i="1"/>
  <c r="AC36" i="1" l="1"/>
  <c r="AD35" i="1"/>
  <c r="AM22" i="1"/>
  <c r="AN21" i="1"/>
  <c r="AD34" i="1"/>
  <c r="S17" i="1"/>
  <c r="G16" i="1"/>
  <c r="J15" i="1"/>
  <c r="G17" i="1" l="1"/>
  <c r="S18" i="1"/>
  <c r="T17" i="1"/>
  <c r="T16" i="1"/>
  <c r="AM23" i="1"/>
  <c r="AN22" i="1"/>
  <c r="AC37" i="1"/>
  <c r="AD36" i="1"/>
  <c r="AC38" i="1" l="1"/>
  <c r="AD37" i="1"/>
  <c r="G18" i="1"/>
  <c r="S19" i="1"/>
  <c r="T18" i="1"/>
  <c r="J16" i="1"/>
  <c r="G19" i="1" l="1"/>
  <c r="J18" i="1"/>
  <c r="S20" i="1"/>
  <c r="T19" i="1"/>
  <c r="J17" i="1"/>
  <c r="AC39" i="1"/>
  <c r="AD38" i="1" l="1"/>
  <c r="S21" i="1"/>
  <c r="T20" i="1"/>
  <c r="G20" i="1"/>
  <c r="J19" i="1"/>
  <c r="G21" i="1" l="1"/>
  <c r="J20" i="1"/>
  <c r="S22" i="1"/>
  <c r="T21" i="1"/>
  <c r="S23" i="1" l="1"/>
  <c r="T23" i="1" s="1"/>
  <c r="G22" i="1"/>
  <c r="J21" i="1"/>
  <c r="G23" i="1" l="1"/>
  <c r="J22" i="1"/>
  <c r="T22" i="1"/>
  <c r="G24" i="1" l="1"/>
  <c r="G25" i="1" l="1"/>
  <c r="J24" i="1"/>
  <c r="J23" i="1"/>
  <c r="G26" i="1" l="1"/>
  <c r="J25" i="1"/>
  <c r="G27" i="1" l="1"/>
  <c r="J26" i="1"/>
  <c r="G28" i="1" l="1"/>
  <c r="J27" i="1"/>
  <c r="G29" i="1" l="1"/>
  <c r="G30" i="1" l="1"/>
  <c r="J28" i="1"/>
  <c r="G31" i="1" l="1"/>
  <c r="J30" i="1"/>
  <c r="J29" i="1"/>
  <c r="G32" i="1" l="1"/>
  <c r="J31" i="1"/>
  <c r="G33" i="1" l="1"/>
  <c r="J33" i="1" s="1"/>
  <c r="J32" i="1"/>
</calcChain>
</file>

<file path=xl/sharedStrings.xml><?xml version="1.0" encoding="utf-8"?>
<sst xmlns="http://schemas.openxmlformats.org/spreadsheetml/2006/main" count="1688" uniqueCount="113">
  <si>
    <t>sepal length</t>
  </si>
  <si>
    <t>sepal width</t>
  </si>
  <si>
    <t>petal length</t>
  </si>
  <si>
    <t>petal width</t>
  </si>
  <si>
    <t>iris</t>
  </si>
  <si>
    <t>Iris-setosa</t>
  </si>
  <si>
    <t>Iris-versicolor</t>
  </si>
  <si>
    <t>Iris-virginica</t>
  </si>
  <si>
    <t>Tính khoảng</t>
  </si>
  <si>
    <t>&lt;</t>
  </si>
  <si>
    <t>&gt;=</t>
  </si>
  <si>
    <t>Sepal setosa</t>
  </si>
  <si>
    <t>sepal versicolor</t>
  </si>
  <si>
    <t>SETOSA</t>
  </si>
  <si>
    <t>virginaca</t>
  </si>
  <si>
    <t>virginica</t>
  </si>
  <si>
    <t>versicolor</t>
  </si>
  <si>
    <t>khoảng TB</t>
  </si>
  <si>
    <t>setosa</t>
  </si>
  <si>
    <t>gini</t>
  </si>
  <si>
    <t>GINI</t>
  </si>
  <si>
    <t>Min gini</t>
  </si>
  <si>
    <t>Mini gini</t>
  </si>
  <si>
    <t>KHOẢNG TB</t>
  </si>
  <si>
    <t>Gini</t>
  </si>
  <si>
    <t>Khoảng TB</t>
  </si>
  <si>
    <t>4.9 &lt;</t>
  </si>
  <si>
    <t>Min:</t>
  </si>
  <si>
    <t>MAX</t>
  </si>
  <si>
    <t>MIN</t>
  </si>
  <si>
    <t>Median:</t>
  </si>
  <si>
    <t>Q1</t>
  </si>
  <si>
    <t>Q3</t>
  </si>
  <si>
    <t>Mean</t>
  </si>
  <si>
    <t>Mode</t>
  </si>
  <si>
    <t>Range</t>
  </si>
  <si>
    <t>Sepal length</t>
  </si>
  <si>
    <t>Max:</t>
  </si>
  <si>
    <t>Sepal width</t>
  </si>
  <si>
    <t>Petal length</t>
  </si>
  <si>
    <t>Petal width</t>
  </si>
  <si>
    <t>Median</t>
  </si>
  <si>
    <t>Maximum</t>
  </si>
  <si>
    <t>pental length</t>
  </si>
  <si>
    <t>pental width</t>
  </si>
  <si>
    <t>Minimum</t>
  </si>
  <si>
    <t>count</t>
  </si>
  <si>
    <t>Standard error</t>
  </si>
  <si>
    <t>2Q box</t>
  </si>
  <si>
    <t>3Q box</t>
  </si>
  <si>
    <t>wishke-</t>
  </si>
  <si>
    <t>wishke+</t>
  </si>
  <si>
    <t>Khoảng tứ phân vị thứ nhất</t>
  </si>
  <si>
    <t>Khoảng tứ phân vụ thứ hai</t>
  </si>
  <si>
    <t>Row Labels</t>
  </si>
  <si>
    <t>Grand Total</t>
  </si>
  <si>
    <t>Frequency</t>
  </si>
  <si>
    <t>%</t>
  </si>
  <si>
    <t>Bin</t>
  </si>
  <si>
    <t>More</t>
  </si>
  <si>
    <t>4-5</t>
  </si>
  <si>
    <t>5-6</t>
  </si>
  <si>
    <t>6-7</t>
  </si>
  <si>
    <t>7-8</t>
  </si>
  <si>
    <t>&gt;0 đến &lt;=4</t>
  </si>
  <si>
    <t>&gt;4 đến &lt;=5</t>
  </si>
  <si>
    <t>&gt;5 đến &lt;=6</t>
  </si>
  <si>
    <t>&gt;6 đến &lt;=7</t>
  </si>
  <si>
    <t>&gt;7 đến &lt;=8</t>
  </si>
  <si>
    <t>2-2.5</t>
  </si>
  <si>
    <t>2.5-3</t>
  </si>
  <si>
    <t>3-3.5</t>
  </si>
  <si>
    <t>3.5-4</t>
  </si>
  <si>
    <t>4-4.5</t>
  </si>
  <si>
    <t>&gt;0 đến &lt;=2</t>
  </si>
  <si>
    <t>&gt;2 đến &lt;=2.5</t>
  </si>
  <si>
    <t>&gt;2.5 đến &lt;=3</t>
  </si>
  <si>
    <t>&gt;3 đến &lt;=3.5</t>
  </si>
  <si>
    <t>&gt;3.5 đến &lt;=4</t>
  </si>
  <si>
    <t>&gt;4 đến &lt;=4.5</t>
  </si>
  <si>
    <t>1-1.5</t>
  </si>
  <si>
    <t>1.5-2</t>
  </si>
  <si>
    <t>1-2</t>
  </si>
  <si>
    <t>3-4</t>
  </si>
  <si>
    <t>&gt;0 đến &lt;=1</t>
  </si>
  <si>
    <t>&gt;1 đến &lt;=2</t>
  </si>
  <si>
    <t>&gt;2 đến &lt;=3</t>
  </si>
  <si>
    <t>&gt;3 đến &lt;=4</t>
  </si>
  <si>
    <t>BIN</t>
  </si>
  <si>
    <t>Giá trị nhỏ nhất của dữ liệu</t>
  </si>
  <si>
    <t>Giá trị lớn nhất của dữ liệu</t>
  </si>
  <si>
    <t>Độ rộng dữ liệu</t>
  </si>
  <si>
    <t>Số lớp có trong dữ liệu</t>
  </si>
  <si>
    <t>Độ rộng 1 lớp</t>
  </si>
  <si>
    <t>Lớp</t>
  </si>
  <si>
    <t>Giá trị trên</t>
  </si>
  <si>
    <t>0-0.5</t>
  </si>
  <si>
    <t>0.5-1</t>
  </si>
  <si>
    <t>&gt;0.5 đến &lt;=1</t>
  </si>
  <si>
    <t>&gt;1 đến &lt;=1.5</t>
  </si>
  <si>
    <t>&gt;1.5 đến &lt;=2</t>
  </si>
  <si>
    <t>0</t>
  </si>
  <si>
    <t>&gt;0 đến &lt;=0.5</t>
  </si>
  <si>
    <t>Q3-Q1</t>
  </si>
  <si>
    <t>IQR*1.5</t>
  </si>
  <si>
    <t>IQR*3</t>
  </si>
  <si>
    <t>Q1-IQR*3</t>
  </si>
  <si>
    <t>Q3+IQR*3</t>
  </si>
  <si>
    <t>Q1-IQR*1.5</t>
  </si>
  <si>
    <t>Q3+IQR*1.5</t>
  </si>
  <si>
    <t>&lt;=</t>
  </si>
  <si>
    <t>T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</si>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</sst>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3"/>
      <color theme="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5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0" xfId="0" applyFill="1"/>
    <xf numFmtId="0" fontId="0" fillId="0" borderId="0" xfId="0" applyAlignment="1">
      <alignment vertical="center"/>
    </xf>
    <xf numFmtId="0" fontId="0" fillId="0" borderId="0" xfId="0" applyFill="1"/>
    <xf numFmtId="0" fontId="0" fillId="0" borderId="0" xfId="0" applyAlignment="1">
      <alignment horizontal="center"/>
    </xf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0" borderId="0" xfId="0" pivotButton="1"/>
    <xf numFmtId="0" fontId="0" fillId="0" borderId="0" xfId="0" applyAlignment="1">
      <alignment horizontal="left"/>
    </xf>
    <xf numFmtId="0" fontId="1" fillId="8" borderId="1" xfId="0" applyFont="1" applyFill="1" applyBorder="1" applyAlignment="1">
      <alignment horizontal="left"/>
    </xf>
    <xf numFmtId="0" fontId="0" fillId="0" borderId="0" xfId="0" applyNumberFormat="1"/>
    <xf numFmtId="0" fontId="1" fillId="8" borderId="1" xfId="0" applyNumberFormat="1" applyFont="1" applyFill="1" applyBorder="1"/>
    <xf numFmtId="10" fontId="0" fillId="0" borderId="0" xfId="0" applyNumberFormat="1"/>
    <xf numFmtId="10" fontId="1" fillId="8" borderId="1" xfId="0" applyNumberFormat="1" applyFont="1" applyFill="1" applyBorder="1"/>
    <xf numFmtId="0" fontId="0" fillId="0" borderId="0" xfId="0" applyNumberFormat="1" applyFill="1" applyBorder="1" applyAlignment="1"/>
    <xf numFmtId="0" fontId="0" fillId="0" borderId="0" xfId="0" applyFill="1" applyBorder="1" applyAlignment="1"/>
    <xf numFmtId="0" fontId="0" fillId="0" borderId="2" xfId="0" applyFill="1" applyBorder="1" applyAlignment="1"/>
    <xf numFmtId="0" fontId="2" fillId="0" borderId="3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49" fontId="2" fillId="0" borderId="3" xfId="0" applyNumberFormat="1" applyFont="1" applyFill="1" applyBorder="1" applyAlignment="1">
      <alignment horizontal="center"/>
    </xf>
    <xf numFmtId="49" fontId="0" fillId="0" borderId="0" xfId="0" applyNumberFormat="1" applyFill="1" applyBorder="1" applyAlignment="1"/>
    <xf numFmtId="49" fontId="0" fillId="0" borderId="2" xfId="0" applyNumberFormat="1" applyFill="1" applyBorder="1" applyAlignment="1"/>
    <xf numFmtId="49" fontId="2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4" fillId="0" borderId="0" xfId="0" applyFont="1"/>
    <xf numFmtId="0" fontId="0" fillId="0" borderId="4" xfId="0" applyFill="1" applyBorder="1"/>
    <xf numFmtId="0" fontId="0" fillId="0" borderId="4" xfId="0" applyBorder="1"/>
    <xf numFmtId="0" fontId="3" fillId="0" borderId="0" xfId="0" applyFont="1"/>
    <xf numFmtId="0" fontId="0" fillId="0" borderId="4" xfId="0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4" borderId="4" xfId="0" applyFill="1" applyBorder="1"/>
    <xf numFmtId="0" fontId="0" fillId="4" borderId="4" xfId="0" applyFill="1" applyBorder="1" applyAlignment="1">
      <alignment horizontal="center" vertical="center"/>
    </xf>
    <xf numFmtId="0" fontId="0" fillId="3" borderId="4" xfId="0" applyFill="1" applyBorder="1"/>
    <xf numFmtId="0" fontId="0" fillId="3" borderId="4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7.xml"/><Relationship Id="rId13" Type="http://schemas.openxmlformats.org/officeDocument/2006/relationships/worksheet" Target="worksheets/sheet8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6.xml"/><Relationship Id="rId12" Type="http://schemas.openxmlformats.org/officeDocument/2006/relationships/chartsheet" Target="chartsheets/sheet5.xml"/><Relationship Id="rId17" Type="http://schemas.openxmlformats.org/officeDocument/2006/relationships/pivotCacheDefinition" Target="pivotCache/pivotCacheDefinition3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2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1.xml"/><Relationship Id="rId11" Type="http://schemas.openxmlformats.org/officeDocument/2006/relationships/chartsheet" Target="chartsheets/sheet4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1.xml"/><Relationship Id="rId10" Type="http://schemas.openxmlformats.org/officeDocument/2006/relationships/chartsheet" Target="chartsheets/sheet3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hartsheet" Target="chartsheets/sheet2.xml"/><Relationship Id="rId14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'BĐ hộp'!$F$10</c:f>
              <c:strCache>
                <c:ptCount val="1"/>
                <c:pt idx="0">
                  <c:v>Q1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errBars>
            <c:errBarType val="minus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Ref>
                <c:f>'BĐ hộp'!$G$13:$J$13</c:f>
                <c:numCache>
                  <c:formatCode>General</c:formatCode>
                  <c:ptCount val="4"/>
                  <c:pt idx="0">
                    <c:v>0.69999999999999929</c:v>
                  </c:pt>
                  <c:pt idx="1">
                    <c:v>0.79999999999999982</c:v>
                  </c:pt>
                  <c:pt idx="2">
                    <c:v>0.5</c:v>
                  </c:pt>
                  <c:pt idx="3">
                    <c:v>0.19999999999999998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'BĐ hộp'!$G$1:$J$1</c:f>
              <c:strCache>
                <c:ptCount val="4"/>
                <c:pt idx="0">
                  <c:v>Sepal length</c:v>
                </c:pt>
                <c:pt idx="1">
                  <c:v>Sepal width</c:v>
                </c:pt>
                <c:pt idx="2">
                  <c:v>Petal length</c:v>
                </c:pt>
                <c:pt idx="3">
                  <c:v>Petal width</c:v>
                </c:pt>
              </c:strCache>
            </c:strRef>
          </c:cat>
          <c:val>
            <c:numRef>
              <c:f>'BĐ hộp'!$G$10:$J$10</c:f>
              <c:numCache>
                <c:formatCode>General</c:formatCode>
                <c:ptCount val="4"/>
                <c:pt idx="0">
                  <c:v>5.0999999999999996</c:v>
                </c:pt>
                <c:pt idx="1">
                  <c:v>2.8</c:v>
                </c:pt>
                <c:pt idx="2">
                  <c:v>1.5</c:v>
                </c:pt>
                <c:pt idx="3">
                  <c:v>0.3</c:v>
                </c:pt>
              </c:numCache>
            </c:numRef>
          </c:val>
        </c:ser>
        <c:ser>
          <c:idx val="1"/>
          <c:order val="1"/>
          <c:tx>
            <c:strRef>
              <c:f>'BĐ hộp'!$F$11</c:f>
              <c:strCache>
                <c:ptCount val="1"/>
                <c:pt idx="0">
                  <c:v>2Q box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'BĐ hộp'!$G$1:$J$1</c:f>
              <c:strCache>
                <c:ptCount val="4"/>
                <c:pt idx="0">
                  <c:v>Sepal length</c:v>
                </c:pt>
                <c:pt idx="1">
                  <c:v>Sepal width</c:v>
                </c:pt>
                <c:pt idx="2">
                  <c:v>Petal length</c:v>
                </c:pt>
                <c:pt idx="3">
                  <c:v>Petal width</c:v>
                </c:pt>
              </c:strCache>
            </c:strRef>
          </c:cat>
          <c:val>
            <c:numRef>
              <c:f>'BĐ hộp'!$G$11:$J$11</c:f>
              <c:numCache>
                <c:formatCode>General</c:formatCode>
                <c:ptCount val="4"/>
                <c:pt idx="0">
                  <c:v>0.65000000000000036</c:v>
                </c:pt>
                <c:pt idx="1">
                  <c:v>0.20000000000000018</c:v>
                </c:pt>
                <c:pt idx="2">
                  <c:v>2.95</c:v>
                </c:pt>
                <c:pt idx="3">
                  <c:v>1.0999999999999999</c:v>
                </c:pt>
              </c:numCache>
            </c:numRef>
          </c:val>
        </c:ser>
        <c:ser>
          <c:idx val="2"/>
          <c:order val="2"/>
          <c:tx>
            <c:strRef>
              <c:f>'BĐ hộp'!$F$12</c:f>
              <c:strCache>
                <c:ptCount val="1"/>
                <c:pt idx="0">
                  <c:v>3Q box</c:v>
                </c:pt>
              </c:strCache>
            </c:strRef>
          </c:tx>
          <c:spPr>
            <a:noFill/>
            <a:ln w="9525">
              <a:solidFill>
                <a:schemeClr val="tx1"/>
              </a:solidFill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'BĐ hộp'!$G$14:$J$14</c:f>
                <c:numCache>
                  <c:formatCode>General</c:formatCode>
                  <c:ptCount val="4"/>
                  <c:pt idx="0">
                    <c:v>1.5</c:v>
                  </c:pt>
                  <c:pt idx="1">
                    <c:v>1.0000000000000004</c:v>
                  </c:pt>
                  <c:pt idx="2">
                    <c:v>1.3000000000000007</c:v>
                  </c:pt>
                  <c:pt idx="3">
                    <c:v>0.7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'BĐ hộp'!$G$1:$J$1</c:f>
              <c:strCache>
                <c:ptCount val="4"/>
                <c:pt idx="0">
                  <c:v>Sepal length</c:v>
                </c:pt>
                <c:pt idx="1">
                  <c:v>Sepal width</c:v>
                </c:pt>
                <c:pt idx="2">
                  <c:v>Petal length</c:v>
                </c:pt>
                <c:pt idx="3">
                  <c:v>Petal width</c:v>
                </c:pt>
              </c:strCache>
            </c:strRef>
          </c:cat>
          <c:val>
            <c:numRef>
              <c:f>'BĐ hộp'!$G$12:$J$12</c:f>
              <c:numCache>
                <c:formatCode>General</c:formatCode>
                <c:ptCount val="4"/>
                <c:pt idx="0">
                  <c:v>0.65000000000000036</c:v>
                </c:pt>
                <c:pt idx="1">
                  <c:v>0.39999999999999991</c:v>
                </c:pt>
                <c:pt idx="2">
                  <c:v>0.64999999999999947</c:v>
                </c:pt>
                <c:pt idx="3">
                  <c:v>0.40000000000000013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1135165216"/>
        <c:axId val="-1135160320"/>
      </c:barChart>
      <c:catAx>
        <c:axId val="-11351652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135160320"/>
        <c:crosses val="autoZero"/>
        <c:auto val="1"/>
        <c:lblAlgn val="ctr"/>
        <c:lblOffset val="100"/>
        <c:noMultiLvlLbl val="0"/>
      </c:catAx>
      <c:valAx>
        <c:axId val="-11351603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1351652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Histogram của Iris$Sepal</a:t>
            </a:r>
            <a:r>
              <a:rPr lang="en-US" baseline="0"/>
              <a:t> Width</a:t>
            </a:r>
            <a:endParaRPr lang="en-US"/>
          </a:p>
        </c:rich>
      </c:tx>
      <c:layout>
        <c:manualLayout>
          <c:xMode val="edge"/>
          <c:yMode val="edge"/>
          <c:x val="0.17467079344206207"/>
          <c:y val="3.1372549019607843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Frequency</c:v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'BĐ hộp'!$X$19:$X$25</c:f>
              <c:strCache>
                <c:ptCount val="7"/>
                <c:pt idx="0">
                  <c:v>&gt;0 đến &lt;=2</c:v>
                </c:pt>
                <c:pt idx="1">
                  <c:v>&gt;2 đến &lt;=2.5</c:v>
                </c:pt>
                <c:pt idx="2">
                  <c:v>&gt;2.5 đến &lt;=3</c:v>
                </c:pt>
                <c:pt idx="3">
                  <c:v>&gt;3 đến &lt;=3.5</c:v>
                </c:pt>
                <c:pt idx="4">
                  <c:v>&gt;3.5 đến &lt;=4</c:v>
                </c:pt>
                <c:pt idx="5">
                  <c:v>&gt;4 đến &lt;=4.5</c:v>
                </c:pt>
                <c:pt idx="6">
                  <c:v>More</c:v>
                </c:pt>
              </c:strCache>
            </c:strRef>
          </c:cat>
          <c:val>
            <c:numRef>
              <c:f>'BĐ hộp'!$Y$19:$Y$25</c:f>
              <c:numCache>
                <c:formatCode>General</c:formatCode>
                <c:ptCount val="7"/>
                <c:pt idx="0">
                  <c:v>1</c:v>
                </c:pt>
                <c:pt idx="1">
                  <c:v>18</c:v>
                </c:pt>
                <c:pt idx="2">
                  <c:v>64</c:v>
                </c:pt>
                <c:pt idx="3">
                  <c:v>49</c:v>
                </c:pt>
                <c:pt idx="4">
                  <c:v>15</c:v>
                </c:pt>
                <c:pt idx="5">
                  <c:v>3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-1187305984"/>
        <c:axId val="-1309309536"/>
      </c:barChart>
      <c:catAx>
        <c:axId val="-11873059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Khoảng</a:t>
                </a:r>
                <a:r>
                  <a:rPr lang="en-US" baseline="0"/>
                  <a:t> Iris$Sepal.Width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1309309536"/>
        <c:crosses val="autoZero"/>
        <c:auto val="1"/>
        <c:lblAlgn val="ctr"/>
        <c:lblOffset val="100"/>
        <c:noMultiLvlLbl val="0"/>
      </c:catAx>
      <c:valAx>
        <c:axId val="-13093095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Tần</a:t>
                </a:r>
                <a:r>
                  <a:rPr lang="en-US" baseline="0"/>
                  <a:t> số xuất hiện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118730598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Histogram của</a:t>
            </a:r>
            <a:r>
              <a:rPr lang="en-US" sz="1600" baseline="0"/>
              <a:t> Iris$Petal.Length</a:t>
            </a:r>
            <a:endParaRPr lang="en-US" sz="16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Frequency</c:v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'BĐ tần số PL'!$G$4:$G$11</c:f>
              <c:strCache>
                <c:ptCount val="8"/>
                <c:pt idx="0">
                  <c:v>&gt;0 đến &lt;=1</c:v>
                </c:pt>
                <c:pt idx="1">
                  <c:v>&gt;1 đến &lt;=2</c:v>
                </c:pt>
                <c:pt idx="2">
                  <c:v>&gt;2 đến &lt;=3</c:v>
                </c:pt>
                <c:pt idx="3">
                  <c:v>&gt;3 đến &lt;=4</c:v>
                </c:pt>
                <c:pt idx="4">
                  <c:v>&gt;4 đến &lt;=5</c:v>
                </c:pt>
                <c:pt idx="5">
                  <c:v>&gt;5 đến &lt;=6</c:v>
                </c:pt>
                <c:pt idx="6">
                  <c:v>&gt;6 đến &lt;=7</c:v>
                </c:pt>
                <c:pt idx="7">
                  <c:v>More</c:v>
                </c:pt>
              </c:strCache>
            </c:strRef>
          </c:cat>
          <c:val>
            <c:numRef>
              <c:f>'BĐ tần số PL'!$H$4:$H$11</c:f>
              <c:numCache>
                <c:formatCode>General</c:formatCode>
                <c:ptCount val="8"/>
                <c:pt idx="0">
                  <c:v>1</c:v>
                </c:pt>
                <c:pt idx="1">
                  <c:v>49</c:v>
                </c:pt>
                <c:pt idx="2">
                  <c:v>1</c:v>
                </c:pt>
                <c:pt idx="3">
                  <c:v>15</c:v>
                </c:pt>
                <c:pt idx="4">
                  <c:v>42</c:v>
                </c:pt>
                <c:pt idx="5">
                  <c:v>33</c:v>
                </c:pt>
                <c:pt idx="6">
                  <c:v>9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-1131903760"/>
        <c:axId val="-1131901584"/>
      </c:barChart>
      <c:catAx>
        <c:axId val="-11319037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Khoảng</a:t>
                </a:r>
                <a:r>
                  <a:rPr lang="en-US" baseline="0"/>
                  <a:t> Iris$Petal.Length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1131901584"/>
        <c:crosses val="autoZero"/>
        <c:auto val="1"/>
        <c:lblAlgn val="ctr"/>
        <c:lblOffset val="100"/>
        <c:noMultiLvlLbl val="0"/>
      </c:catAx>
      <c:valAx>
        <c:axId val="-113190158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Tần</a:t>
                </a:r>
                <a:r>
                  <a:rPr lang="en-US" baseline="0"/>
                  <a:t> số xuất hiện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113190376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Histogram của</a:t>
            </a:r>
            <a:r>
              <a:rPr lang="en-US" sz="1600" baseline="0"/>
              <a:t> Iris$Petal.Width</a:t>
            </a:r>
            <a:endParaRPr lang="en-US" sz="16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Frequency</c:v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'BĐ tần số PW'!$K$13:$K$19</c:f>
              <c:strCache>
                <c:ptCount val="7"/>
                <c:pt idx="0">
                  <c:v>0</c:v>
                </c:pt>
                <c:pt idx="1">
                  <c:v>&gt;0 đến &lt;=0.5</c:v>
                </c:pt>
                <c:pt idx="2">
                  <c:v>&gt;0.5 đến &lt;=1</c:v>
                </c:pt>
                <c:pt idx="3">
                  <c:v>&gt;1 đến &lt;=1.5</c:v>
                </c:pt>
                <c:pt idx="4">
                  <c:v>&gt;1.5 đến &lt;=2</c:v>
                </c:pt>
                <c:pt idx="5">
                  <c:v>&gt;2 đến &lt;=2.5</c:v>
                </c:pt>
                <c:pt idx="6">
                  <c:v>More</c:v>
                </c:pt>
              </c:strCache>
            </c:strRef>
          </c:cat>
          <c:val>
            <c:numRef>
              <c:f>'BĐ tần số PW'!$L$13:$L$19</c:f>
              <c:numCache>
                <c:formatCode>General</c:formatCode>
                <c:ptCount val="7"/>
                <c:pt idx="0">
                  <c:v>0</c:v>
                </c:pt>
                <c:pt idx="1">
                  <c:v>49</c:v>
                </c:pt>
                <c:pt idx="2">
                  <c:v>8</c:v>
                </c:pt>
                <c:pt idx="3">
                  <c:v>41</c:v>
                </c:pt>
                <c:pt idx="4">
                  <c:v>29</c:v>
                </c:pt>
                <c:pt idx="5">
                  <c:v>23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-1131893968"/>
        <c:axId val="-1131903216"/>
      </c:barChart>
      <c:catAx>
        <c:axId val="-11318939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Khoảng</a:t>
                </a:r>
                <a:r>
                  <a:rPr lang="en-US" baseline="0"/>
                  <a:t> phân bố Iris$petal.width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1131903216"/>
        <c:crosses val="autoZero"/>
        <c:auto val="1"/>
        <c:lblAlgn val="ctr"/>
        <c:lblOffset val="100"/>
        <c:noMultiLvlLbl val="0"/>
      </c:catAx>
      <c:valAx>
        <c:axId val="-11319032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Tần</a:t>
                </a:r>
                <a:r>
                  <a:rPr lang="en-US" baseline="0"/>
                  <a:t> số xuất hiện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113189396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872707786526684"/>
          <c:y val="0.902777777777777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'BĐ hộp'!$AN$8</c:f>
              <c:strCache>
                <c:ptCount val="1"/>
                <c:pt idx="0">
                  <c:v>Q1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errBars>
            <c:errBarType val="minus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Ref>
                <c:f>'BĐ hộp'!$AO$15:$AQ$15</c:f>
                <c:numCache>
                  <c:formatCode>General</c:formatCode>
                  <c:ptCount val="3"/>
                  <c:pt idx="0">
                    <c:v>0.97500000000000009</c:v>
                  </c:pt>
                  <c:pt idx="1">
                    <c:v>0.67500000000000027</c:v>
                  </c:pt>
                  <c:pt idx="2">
                    <c:v>0.57499999999999973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'BĐ hộp'!$AO$3:$AQ$3</c:f>
              <c:strCache>
                <c:ptCount val="3"/>
                <c:pt idx="0">
                  <c:v>Iris-setosa</c:v>
                </c:pt>
                <c:pt idx="1">
                  <c:v>Iris-versicolor</c:v>
                </c:pt>
                <c:pt idx="2">
                  <c:v>Iris-virginica</c:v>
                </c:pt>
              </c:strCache>
            </c:strRef>
          </c:cat>
          <c:val>
            <c:numRef>
              <c:f>'BĐ hộp'!$AO$8:$AQ$8</c:f>
              <c:numCache>
                <c:formatCode>General</c:formatCode>
                <c:ptCount val="3"/>
                <c:pt idx="0">
                  <c:v>3.2749999999999999</c:v>
                </c:pt>
                <c:pt idx="1">
                  <c:v>2.6750000000000003</c:v>
                </c:pt>
                <c:pt idx="2">
                  <c:v>2.7749999999999999</c:v>
                </c:pt>
              </c:numCache>
            </c:numRef>
          </c:val>
        </c:ser>
        <c:ser>
          <c:idx val="1"/>
          <c:order val="1"/>
          <c:tx>
            <c:strRef>
              <c:f>'BĐ hộp'!$AN$13</c:f>
              <c:strCache>
                <c:ptCount val="1"/>
                <c:pt idx="0">
                  <c:v>Khoảng tứ phân vị thứ nhất</c:v>
                </c:pt>
              </c:strCache>
            </c:strRef>
          </c:tx>
          <c:spPr>
            <a:solidFill>
              <a:schemeClr val="bg2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'BĐ hộp'!$AO$3:$AQ$3</c:f>
              <c:strCache>
                <c:ptCount val="3"/>
                <c:pt idx="0">
                  <c:v>Iris-setosa</c:v>
                </c:pt>
                <c:pt idx="1">
                  <c:v>Iris-versicolor</c:v>
                </c:pt>
                <c:pt idx="2">
                  <c:v>Iris-virginica</c:v>
                </c:pt>
              </c:strCache>
            </c:strRef>
          </c:cat>
          <c:val>
            <c:numRef>
              <c:f>'BĐ hộp'!$AO$13:$AQ$13</c:f>
              <c:numCache>
                <c:formatCode>General</c:formatCode>
                <c:ptCount val="3"/>
                <c:pt idx="0">
                  <c:v>0.22500000000000009</c:v>
                </c:pt>
                <c:pt idx="1">
                  <c:v>0.17499999999999938</c:v>
                </c:pt>
                <c:pt idx="2">
                  <c:v>0.22500000000000009</c:v>
                </c:pt>
              </c:numCache>
            </c:numRef>
          </c:val>
        </c:ser>
        <c:ser>
          <c:idx val="2"/>
          <c:order val="2"/>
          <c:tx>
            <c:strRef>
              <c:f>'BĐ hộp'!$AN$14</c:f>
              <c:strCache>
                <c:ptCount val="1"/>
                <c:pt idx="0">
                  <c:v>Khoảng tứ phân vụ thứ hai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'BĐ hộp'!$AO$16:$AQ$16</c:f>
                <c:numCache>
                  <c:formatCode>General</c:formatCode>
                  <c:ptCount val="3"/>
                  <c:pt idx="0">
                    <c:v>0.67500000000000027</c:v>
                  </c:pt>
                  <c:pt idx="1">
                    <c:v>0.39999999999999991</c:v>
                  </c:pt>
                  <c:pt idx="2">
                    <c:v>0.67499999999999982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'BĐ hộp'!$AO$3:$AQ$3</c:f>
              <c:strCache>
                <c:ptCount val="3"/>
                <c:pt idx="0">
                  <c:v>Iris-setosa</c:v>
                </c:pt>
                <c:pt idx="1">
                  <c:v>Iris-versicolor</c:v>
                </c:pt>
                <c:pt idx="2">
                  <c:v>Iris-virginica</c:v>
                </c:pt>
              </c:strCache>
            </c:strRef>
          </c:cat>
          <c:val>
            <c:numRef>
              <c:f>'BĐ hộp'!$AO$14:$AQ$14</c:f>
              <c:numCache>
                <c:formatCode>General</c:formatCode>
                <c:ptCount val="3"/>
                <c:pt idx="0">
                  <c:v>0.22500000000000009</c:v>
                </c:pt>
                <c:pt idx="1">
                  <c:v>0.15000000000000036</c:v>
                </c:pt>
                <c:pt idx="2">
                  <c:v>0.125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1035732064"/>
        <c:axId val="-1035727168"/>
      </c:barChart>
      <c:catAx>
        <c:axId val="-1035732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035727168"/>
        <c:crosses val="autoZero"/>
        <c:auto val="1"/>
        <c:lblAlgn val="ctr"/>
        <c:lblOffset val="100"/>
        <c:noMultiLvlLbl val="0"/>
      </c:catAx>
      <c:valAx>
        <c:axId val="-1035727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035732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2295341207349081"/>
          <c:y val="0.87094852726742478"/>
          <c:w val="0.54172340589779222"/>
          <c:h val="0.1290514727325750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'BĐ hộp'!$AI$8</c:f>
              <c:strCache>
                <c:ptCount val="1"/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errBars>
            <c:errBarType val="minus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Ref>
                <c:f>'BĐ hộp'!$AJ$15:$AL$15</c:f>
                <c:numCache>
                  <c:formatCode>General</c:formatCode>
                  <c:ptCount val="3"/>
                  <c:pt idx="0">
                    <c:v>0.39999999999999947</c:v>
                  </c:pt>
                  <c:pt idx="1">
                    <c:v>0.77499999999999947</c:v>
                  </c:pt>
                  <c:pt idx="2">
                    <c:v>0.89999999999999947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'BĐ hộp'!$AJ$3:$AL$3</c:f>
              <c:strCache>
                <c:ptCount val="3"/>
                <c:pt idx="0">
                  <c:v>Iris-setosa</c:v>
                </c:pt>
                <c:pt idx="1">
                  <c:v>Iris-versicolor</c:v>
                </c:pt>
                <c:pt idx="2">
                  <c:v>Iris-virginica</c:v>
                </c:pt>
              </c:strCache>
            </c:strRef>
          </c:cat>
          <c:val>
            <c:numRef>
              <c:f>'BĐ hộp'!$AJ$8:$AL$8</c:f>
              <c:numCache>
                <c:formatCode>General</c:formatCode>
                <c:ptCount val="3"/>
                <c:pt idx="0">
                  <c:v>4.8</c:v>
                </c:pt>
                <c:pt idx="1">
                  <c:v>5.5749999999999993</c:v>
                </c:pt>
                <c:pt idx="2">
                  <c:v>5.8</c:v>
                </c:pt>
              </c:numCache>
            </c:numRef>
          </c:val>
        </c:ser>
        <c:ser>
          <c:idx val="1"/>
          <c:order val="1"/>
          <c:tx>
            <c:strRef>
              <c:f>'BĐ hộp'!$AI$13</c:f>
              <c:strCache>
                <c:ptCount val="1"/>
                <c:pt idx="0">
                  <c:v>Khoảng tứ phân vị thứ nhất</c:v>
                </c:pt>
              </c:strCache>
            </c:strRef>
          </c:tx>
          <c:spPr>
            <a:solidFill>
              <a:schemeClr val="bg2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'BĐ hộp'!$AJ$3:$AL$3</c:f>
              <c:strCache>
                <c:ptCount val="3"/>
                <c:pt idx="0">
                  <c:v>Iris-setosa</c:v>
                </c:pt>
                <c:pt idx="1">
                  <c:v>Iris-versicolor</c:v>
                </c:pt>
                <c:pt idx="2">
                  <c:v>Iris-virginica</c:v>
                </c:pt>
              </c:strCache>
            </c:strRef>
          </c:cat>
          <c:val>
            <c:numRef>
              <c:f>'BĐ hộp'!$AJ$13:$AL$13</c:f>
              <c:numCache>
                <c:formatCode>General</c:formatCode>
                <c:ptCount val="3"/>
                <c:pt idx="0">
                  <c:v>0.20000000000000018</c:v>
                </c:pt>
                <c:pt idx="1">
                  <c:v>0.42500000000000071</c:v>
                </c:pt>
                <c:pt idx="2">
                  <c:v>0.5</c:v>
                </c:pt>
              </c:numCache>
            </c:numRef>
          </c:val>
        </c:ser>
        <c:ser>
          <c:idx val="2"/>
          <c:order val="2"/>
          <c:tx>
            <c:strRef>
              <c:f>'BĐ hộp'!$AI$14</c:f>
              <c:strCache>
                <c:ptCount val="1"/>
                <c:pt idx="0">
                  <c:v>Khoảng tứ phân vụ thứ hai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'BĐ hộp'!$AJ$16:$AL$16</c:f>
                <c:numCache>
                  <c:formatCode>General</c:formatCode>
                  <c:ptCount val="3"/>
                  <c:pt idx="0">
                    <c:v>1.6749999999999998</c:v>
                  </c:pt>
                  <c:pt idx="1">
                    <c:v>1.2999999999999998</c:v>
                  </c:pt>
                  <c:pt idx="2">
                    <c:v>1.1750000000000007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'BĐ hộp'!$AJ$3:$AL$3</c:f>
              <c:strCache>
                <c:ptCount val="3"/>
                <c:pt idx="0">
                  <c:v>Iris-setosa</c:v>
                </c:pt>
                <c:pt idx="1">
                  <c:v>Iris-versicolor</c:v>
                </c:pt>
                <c:pt idx="2">
                  <c:v>Iris-virginica</c:v>
                </c:pt>
              </c:strCache>
            </c:strRef>
          </c:cat>
          <c:val>
            <c:numRef>
              <c:f>'BĐ hộp'!$AJ$14:$AL$14</c:f>
              <c:numCache>
                <c:formatCode>General</c:formatCode>
                <c:ptCount val="3"/>
                <c:pt idx="0">
                  <c:v>0.32500000000000018</c:v>
                </c:pt>
                <c:pt idx="1">
                  <c:v>0.40000000000000036</c:v>
                </c:pt>
                <c:pt idx="2">
                  <c:v>0.42499999999999982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967997280"/>
        <c:axId val="-968004896"/>
      </c:barChart>
      <c:catAx>
        <c:axId val="-967997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968004896"/>
        <c:crosses val="autoZero"/>
        <c:auto val="1"/>
        <c:lblAlgn val="ctr"/>
        <c:lblOffset val="100"/>
        <c:noMultiLvlLbl val="0"/>
      </c:catAx>
      <c:valAx>
        <c:axId val="-968004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9679972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'BĐ hộp'!$AS$8</c:f>
              <c:strCache>
                <c:ptCount val="1"/>
                <c:pt idx="0">
                  <c:v>Q1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errBars>
            <c:errBarType val="minus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Ref>
                <c:f>'BĐ hộp'!$AT$15:$AV$15</c:f>
                <c:numCache>
                  <c:formatCode>General</c:formatCode>
                  <c:ptCount val="3"/>
                  <c:pt idx="0">
                    <c:v>0.375</c:v>
                  </c:pt>
                  <c:pt idx="1">
                    <c:v>1.0749999999999993</c:v>
                  </c:pt>
                  <c:pt idx="2">
                    <c:v>0.59999999999999964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'BĐ hộp'!$AT$3:$AV$3</c:f>
              <c:strCache>
                <c:ptCount val="3"/>
                <c:pt idx="0">
                  <c:v>Iris-setosa</c:v>
                </c:pt>
                <c:pt idx="1">
                  <c:v>Iris-versicolor</c:v>
                </c:pt>
                <c:pt idx="2">
                  <c:v>Iris-virginica</c:v>
                </c:pt>
              </c:strCache>
            </c:strRef>
          </c:cat>
          <c:val>
            <c:numRef>
              <c:f>'BĐ hộp'!$AT$8:$AV$8</c:f>
              <c:numCache>
                <c:formatCode>General</c:formatCode>
                <c:ptCount val="3"/>
                <c:pt idx="0">
                  <c:v>1.375</c:v>
                </c:pt>
                <c:pt idx="1">
                  <c:v>4.0749999999999993</c:v>
                </c:pt>
                <c:pt idx="2">
                  <c:v>5.0999999999999996</c:v>
                </c:pt>
              </c:numCache>
            </c:numRef>
          </c:val>
        </c:ser>
        <c:ser>
          <c:idx val="1"/>
          <c:order val="1"/>
          <c:tx>
            <c:strRef>
              <c:f>'BĐ hộp'!$AS$13</c:f>
              <c:strCache>
                <c:ptCount val="1"/>
                <c:pt idx="0">
                  <c:v>Khoảng tứ phân vị thứ nhất</c:v>
                </c:pt>
              </c:strCache>
            </c:strRef>
          </c:tx>
          <c:spPr>
            <a:solidFill>
              <a:schemeClr val="bg2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'BĐ hộp'!$AT$3:$AV$3</c:f>
              <c:strCache>
                <c:ptCount val="3"/>
                <c:pt idx="0">
                  <c:v>Iris-setosa</c:v>
                </c:pt>
                <c:pt idx="1">
                  <c:v>Iris-versicolor</c:v>
                </c:pt>
                <c:pt idx="2">
                  <c:v>Iris-virginica</c:v>
                </c:pt>
              </c:strCache>
            </c:strRef>
          </c:cat>
          <c:val>
            <c:numRef>
              <c:f>'BĐ hộp'!$AT$13:$AV$13</c:f>
              <c:numCache>
                <c:formatCode>General</c:formatCode>
                <c:ptCount val="3"/>
                <c:pt idx="0">
                  <c:v>0.125</c:v>
                </c:pt>
                <c:pt idx="1">
                  <c:v>0.37500000000000089</c:v>
                </c:pt>
                <c:pt idx="2">
                  <c:v>0.25</c:v>
                </c:pt>
              </c:numCache>
            </c:numRef>
          </c:val>
        </c:ser>
        <c:ser>
          <c:idx val="2"/>
          <c:order val="2"/>
          <c:tx>
            <c:strRef>
              <c:f>'BĐ hộp'!$AS$14</c:f>
              <c:strCache>
                <c:ptCount val="1"/>
                <c:pt idx="0">
                  <c:v>Khoảng tứ phân vụ thứ hai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'BĐ hộp'!$AT$16:$AV$16</c:f>
                <c:numCache>
                  <c:formatCode>General</c:formatCode>
                  <c:ptCount val="3"/>
                  <c:pt idx="0">
                    <c:v>0.39999999999999991</c:v>
                  </c:pt>
                  <c:pt idx="1">
                    <c:v>0.39999999999999947</c:v>
                  </c:pt>
                  <c:pt idx="2">
                    <c:v>0.80000000000000071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'BĐ hộp'!$AT$3:$AV$3</c:f>
              <c:strCache>
                <c:ptCount val="3"/>
                <c:pt idx="0">
                  <c:v>Iris-setosa</c:v>
                </c:pt>
                <c:pt idx="1">
                  <c:v>Iris-versicolor</c:v>
                </c:pt>
                <c:pt idx="2">
                  <c:v>Iris-virginica</c:v>
                </c:pt>
              </c:strCache>
            </c:strRef>
          </c:cat>
          <c:val>
            <c:numRef>
              <c:f>'BĐ hộp'!$AT$14:$AV$14</c:f>
              <c:numCache>
                <c:formatCode>General</c:formatCode>
                <c:ptCount val="3"/>
                <c:pt idx="0">
                  <c:v>0</c:v>
                </c:pt>
                <c:pt idx="1">
                  <c:v>0.25</c:v>
                </c:pt>
                <c:pt idx="2">
                  <c:v>0.25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967999456"/>
        <c:axId val="-968001088"/>
      </c:barChart>
      <c:catAx>
        <c:axId val="-967999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968001088"/>
        <c:crosses val="autoZero"/>
        <c:auto val="1"/>
        <c:lblAlgn val="ctr"/>
        <c:lblOffset val="100"/>
        <c:noMultiLvlLbl val="0"/>
      </c:catAx>
      <c:valAx>
        <c:axId val="-968001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967999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'BĐ hộp'!$AX$8</c:f>
              <c:strCache>
                <c:ptCount val="1"/>
                <c:pt idx="0">
                  <c:v>Q1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errBars>
            <c:errBarType val="minus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Ref>
                <c:f>'BĐ hộp'!$AY$15:$BA$15</c:f>
                <c:numCache>
                  <c:formatCode>General</c:formatCode>
                  <c:ptCount val="3"/>
                  <c:pt idx="0">
                    <c:v>0.1</c:v>
                  </c:pt>
                  <c:pt idx="1">
                    <c:v>0.19999999999999996</c:v>
                  </c:pt>
                  <c:pt idx="2">
                    <c:v>0.40000000000000013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'BĐ hộp'!$AY$3:$BA$3</c:f>
              <c:strCache>
                <c:ptCount val="3"/>
                <c:pt idx="0">
                  <c:v>Iris-setosa</c:v>
                </c:pt>
                <c:pt idx="1">
                  <c:v>Iris-versicolor</c:v>
                </c:pt>
                <c:pt idx="2">
                  <c:v>Iris-virginica</c:v>
                </c:pt>
              </c:strCache>
            </c:strRef>
          </c:cat>
          <c:val>
            <c:numRef>
              <c:f>'BĐ hộp'!$AY$8:$BA$8</c:f>
              <c:numCache>
                <c:formatCode>General</c:formatCode>
                <c:ptCount val="3"/>
                <c:pt idx="0">
                  <c:v>0.2</c:v>
                </c:pt>
                <c:pt idx="1">
                  <c:v>1.2</c:v>
                </c:pt>
                <c:pt idx="2">
                  <c:v>1.8</c:v>
                </c:pt>
              </c:numCache>
            </c:numRef>
          </c:val>
        </c:ser>
        <c:ser>
          <c:idx val="1"/>
          <c:order val="1"/>
          <c:tx>
            <c:strRef>
              <c:f>'BĐ hộp'!$AX$13</c:f>
              <c:strCache>
                <c:ptCount val="1"/>
                <c:pt idx="0">
                  <c:v>Khoảng tứ phân vị thứ nhất</c:v>
                </c:pt>
              </c:strCache>
            </c:strRef>
          </c:tx>
          <c:spPr>
            <a:solidFill>
              <a:schemeClr val="bg2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'BĐ hộp'!$AY$3:$BA$3</c:f>
              <c:strCache>
                <c:ptCount val="3"/>
                <c:pt idx="0">
                  <c:v>Iris-setosa</c:v>
                </c:pt>
                <c:pt idx="1">
                  <c:v>Iris-versicolor</c:v>
                </c:pt>
                <c:pt idx="2">
                  <c:v>Iris-virginica</c:v>
                </c:pt>
              </c:strCache>
            </c:strRef>
          </c:cat>
          <c:val>
            <c:numRef>
              <c:f>'BĐ hộp'!$AY$13:$BA$13</c:f>
              <c:numCache>
                <c:formatCode>General</c:formatCode>
                <c:ptCount val="3"/>
                <c:pt idx="0">
                  <c:v>0</c:v>
                </c:pt>
                <c:pt idx="1">
                  <c:v>0.19999999999999996</c:v>
                </c:pt>
                <c:pt idx="2">
                  <c:v>0.19999999999999996</c:v>
                </c:pt>
              </c:numCache>
            </c:numRef>
          </c:val>
        </c:ser>
        <c:ser>
          <c:idx val="2"/>
          <c:order val="2"/>
          <c:tx>
            <c:strRef>
              <c:f>'BĐ hộp'!$AX$14</c:f>
              <c:strCache>
                <c:ptCount val="1"/>
                <c:pt idx="0">
                  <c:v>Khoảng tứ phân vụ thứ hai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'BĐ hộp'!$AY$16:$BA$16</c:f>
                <c:numCache>
                  <c:formatCode>General</c:formatCode>
                  <c:ptCount val="3"/>
                  <c:pt idx="0">
                    <c:v>0.3</c:v>
                  </c:pt>
                  <c:pt idx="1">
                    <c:v>0.30000000000000004</c:v>
                  </c:pt>
                  <c:pt idx="2">
                    <c:v>0.20000000000000018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'BĐ hộp'!$AY$3:$BA$3</c:f>
              <c:strCache>
                <c:ptCount val="3"/>
                <c:pt idx="0">
                  <c:v>Iris-setosa</c:v>
                </c:pt>
                <c:pt idx="1">
                  <c:v>Iris-versicolor</c:v>
                </c:pt>
                <c:pt idx="2">
                  <c:v>Iris-virginica</c:v>
                </c:pt>
              </c:strCache>
            </c:strRef>
          </c:cat>
          <c:val>
            <c:numRef>
              <c:f>'BĐ hộp'!$AY$14:$BA$14</c:f>
              <c:numCache>
                <c:formatCode>General</c:formatCode>
                <c:ptCount val="3"/>
                <c:pt idx="0">
                  <c:v>9.9999999999999978E-2</c:v>
                </c:pt>
                <c:pt idx="1">
                  <c:v>0.10000000000000009</c:v>
                </c:pt>
                <c:pt idx="2">
                  <c:v>0.29999999999999982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966873456"/>
        <c:axId val="-966869648"/>
      </c:barChart>
      <c:catAx>
        <c:axId val="-966873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966869648"/>
        <c:crosses val="autoZero"/>
        <c:auto val="1"/>
        <c:lblAlgn val="ctr"/>
        <c:lblOffset val="100"/>
        <c:noMultiLvlLbl val="0"/>
      </c:catAx>
      <c:valAx>
        <c:axId val="-966869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966873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Sheet7!$H$8</c:f>
              <c:strCache>
                <c:ptCount val="1"/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errBars>
            <c:errBarType val="minus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Ref>
                <c:f>Sheet7!$I$15:$K$15</c:f>
                <c:numCache>
                  <c:formatCode>General</c:formatCode>
                  <c:ptCount val="3"/>
                  <c:pt idx="0">
                    <c:v>0.5</c:v>
                  </c:pt>
                  <c:pt idx="1">
                    <c:v>0.79999999999999982</c:v>
                  </c:pt>
                  <c:pt idx="2">
                    <c:v>0.60000000000000053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Sheet7!$I$3:$K$3</c:f>
              <c:strCache>
                <c:ptCount val="3"/>
                <c:pt idx="0">
                  <c:v>Iris-setosa</c:v>
                </c:pt>
                <c:pt idx="1">
                  <c:v>Iris-virginica</c:v>
                </c:pt>
                <c:pt idx="2">
                  <c:v>Iris-versicolor</c:v>
                </c:pt>
              </c:strCache>
            </c:strRef>
          </c:cat>
          <c:val>
            <c:numRef>
              <c:f>Sheet7!$I$8:$K$8</c:f>
              <c:numCache>
                <c:formatCode>General</c:formatCode>
                <c:ptCount val="3"/>
                <c:pt idx="0">
                  <c:v>4.9000000000000004</c:v>
                </c:pt>
                <c:pt idx="1">
                  <c:v>5.7</c:v>
                </c:pt>
                <c:pt idx="2">
                  <c:v>6.2</c:v>
                </c:pt>
              </c:numCache>
            </c:numRef>
          </c:val>
        </c:ser>
        <c:ser>
          <c:idx val="1"/>
          <c:order val="1"/>
          <c:tx>
            <c:strRef>
              <c:f>Sheet7!$H$13</c:f>
              <c:strCache>
                <c:ptCount val="1"/>
                <c:pt idx="0">
                  <c:v>Khoảng tứ phân vị thứ nhất</c:v>
                </c:pt>
              </c:strCache>
            </c:strRef>
          </c:tx>
          <c:spPr>
            <a:solidFill>
              <a:schemeClr val="bg2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Sheet7!$I$3:$K$3</c:f>
              <c:strCache>
                <c:ptCount val="3"/>
                <c:pt idx="0">
                  <c:v>Iris-setosa</c:v>
                </c:pt>
                <c:pt idx="1">
                  <c:v>Iris-virginica</c:v>
                </c:pt>
                <c:pt idx="2">
                  <c:v>Iris-versicolor</c:v>
                </c:pt>
              </c:strCache>
            </c:strRef>
          </c:cat>
          <c:val>
            <c:numRef>
              <c:f>Sheet7!$I$13:$K$13</c:f>
              <c:numCache>
                <c:formatCode>General</c:formatCode>
                <c:ptCount val="3"/>
                <c:pt idx="0">
                  <c:v>0.19999999999999929</c:v>
                </c:pt>
                <c:pt idx="1">
                  <c:v>0.39999999999999947</c:v>
                </c:pt>
                <c:pt idx="2">
                  <c:v>0.20000000000000018</c:v>
                </c:pt>
              </c:numCache>
            </c:numRef>
          </c:val>
        </c:ser>
        <c:ser>
          <c:idx val="2"/>
          <c:order val="2"/>
          <c:tx>
            <c:strRef>
              <c:f>Sheet7!$H$14</c:f>
              <c:strCache>
                <c:ptCount val="1"/>
                <c:pt idx="0">
                  <c:v>Khoảng tứ phân vụ thứ hai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Sheet7!$I$16:$K$16</c:f>
                <c:numCache>
                  <c:formatCode>General</c:formatCode>
                  <c:ptCount val="3"/>
                  <c:pt idx="0">
                    <c:v>1.5250000000000004</c:v>
                  </c:pt>
                  <c:pt idx="1">
                    <c:v>1.2000000000000002</c:v>
                  </c:pt>
                  <c:pt idx="2">
                    <c:v>0.70000000000000018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Sheet7!$I$3:$K$3</c:f>
              <c:strCache>
                <c:ptCount val="3"/>
                <c:pt idx="0">
                  <c:v>Iris-setosa</c:v>
                </c:pt>
                <c:pt idx="1">
                  <c:v>Iris-virginica</c:v>
                </c:pt>
                <c:pt idx="2">
                  <c:v>Iris-versicolor</c:v>
                </c:pt>
              </c:strCache>
            </c:strRef>
          </c:cat>
          <c:val>
            <c:numRef>
              <c:f>Sheet7!$I$14:$K$14</c:f>
              <c:numCache>
                <c:formatCode>General</c:formatCode>
                <c:ptCount val="3"/>
                <c:pt idx="0">
                  <c:v>0.375</c:v>
                </c:pt>
                <c:pt idx="1">
                  <c:v>0.40000000000000036</c:v>
                </c:pt>
                <c:pt idx="2">
                  <c:v>0.79999999999999982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1035733152"/>
        <c:axId val="-1035732608"/>
      </c:barChart>
      <c:catAx>
        <c:axId val="-1035733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035732608"/>
        <c:crosses val="autoZero"/>
        <c:auto val="1"/>
        <c:lblAlgn val="ctr"/>
        <c:lblOffset val="100"/>
        <c:noMultiLvlLbl val="0"/>
      </c:catAx>
      <c:valAx>
        <c:axId val="-1035732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035733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Petal</a:t>
            </a:r>
            <a:r>
              <a:rPr lang="en-US" baseline="0"/>
              <a:t> length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Sheet7!$T$8</c:f>
              <c:strCache>
                <c:ptCount val="1"/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errBars>
            <c:errBarType val="minus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Ref>
                <c:f>Sheet7!$U$15:$W$15</c:f>
                <c:numCache>
                  <c:formatCode>General</c:formatCode>
                  <c:ptCount val="3"/>
                  <c:pt idx="0">
                    <c:v>0.39999999999999991</c:v>
                  </c:pt>
                  <c:pt idx="1">
                    <c:v>3.3</c:v>
                  </c:pt>
                  <c:pt idx="2">
                    <c:v>0.375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Sheet7!$U$3:$W$3</c:f>
              <c:strCache>
                <c:ptCount val="3"/>
                <c:pt idx="0">
                  <c:v>Iris-setosa</c:v>
                </c:pt>
                <c:pt idx="1">
                  <c:v>Iris-virginica</c:v>
                </c:pt>
                <c:pt idx="2">
                  <c:v>Iris-versicolor</c:v>
                </c:pt>
              </c:strCache>
            </c:strRef>
          </c:cat>
          <c:val>
            <c:numRef>
              <c:f>Sheet7!$U$8:$W$8</c:f>
              <c:numCache>
                <c:formatCode>General</c:formatCode>
                <c:ptCount val="3"/>
                <c:pt idx="0">
                  <c:v>1.4</c:v>
                </c:pt>
                <c:pt idx="1">
                  <c:v>4.5</c:v>
                </c:pt>
                <c:pt idx="2">
                  <c:v>4.7750000000000004</c:v>
                </c:pt>
              </c:numCache>
            </c:numRef>
          </c:val>
        </c:ser>
        <c:ser>
          <c:idx val="1"/>
          <c:order val="1"/>
          <c:tx>
            <c:strRef>
              <c:f>Sheet7!$T$13</c:f>
              <c:strCache>
                <c:ptCount val="1"/>
                <c:pt idx="0">
                  <c:v>Khoảng tứ phân vị thứ nhất</c:v>
                </c:pt>
              </c:strCache>
            </c:strRef>
          </c:tx>
          <c:spPr>
            <a:solidFill>
              <a:schemeClr val="bg2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Sheet7!$U$3:$W$3</c:f>
              <c:strCache>
                <c:ptCount val="3"/>
                <c:pt idx="0">
                  <c:v>Iris-setosa</c:v>
                </c:pt>
                <c:pt idx="1">
                  <c:v>Iris-virginica</c:v>
                </c:pt>
                <c:pt idx="2">
                  <c:v>Iris-versicolor</c:v>
                </c:pt>
              </c:strCache>
            </c:strRef>
          </c:cat>
          <c:val>
            <c:numRef>
              <c:f>Sheet7!$U$13:$W$13</c:f>
              <c:numCache>
                <c:formatCode>General</c:formatCode>
                <c:ptCount val="3"/>
                <c:pt idx="0">
                  <c:v>0.10000000000000009</c:v>
                </c:pt>
                <c:pt idx="1">
                  <c:v>0.40000000000000036</c:v>
                </c:pt>
                <c:pt idx="2">
                  <c:v>0.52500000000000036</c:v>
                </c:pt>
              </c:numCache>
            </c:numRef>
          </c:val>
        </c:ser>
        <c:ser>
          <c:idx val="2"/>
          <c:order val="2"/>
          <c:tx>
            <c:strRef>
              <c:f>Sheet7!$T$14</c:f>
              <c:strCache>
                <c:ptCount val="1"/>
                <c:pt idx="0">
                  <c:v>Khoảng tứ phân vụ thứ hai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Sheet7!$U$16:$W$16</c:f>
                <c:numCache>
                  <c:formatCode>General</c:formatCode>
                  <c:ptCount val="3"/>
                  <c:pt idx="0">
                    <c:v>3.2</c:v>
                  </c:pt>
                  <c:pt idx="1">
                    <c:v>0.82500000000000018</c:v>
                  </c:pt>
                  <c:pt idx="2">
                    <c:v>0.70000000000000018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Sheet7!$U$3:$W$3</c:f>
              <c:strCache>
                <c:ptCount val="3"/>
                <c:pt idx="0">
                  <c:v>Iris-setosa</c:v>
                </c:pt>
                <c:pt idx="1">
                  <c:v>Iris-virginica</c:v>
                </c:pt>
                <c:pt idx="2">
                  <c:v>Iris-versicolor</c:v>
                </c:pt>
              </c:strCache>
            </c:strRef>
          </c:cat>
          <c:val>
            <c:numRef>
              <c:f>Sheet7!$U$14:$W$14</c:f>
              <c:numCache>
                <c:formatCode>General</c:formatCode>
                <c:ptCount val="3"/>
                <c:pt idx="0">
                  <c:v>0.19999999999999996</c:v>
                </c:pt>
                <c:pt idx="1">
                  <c:v>0.27499999999999947</c:v>
                </c:pt>
                <c:pt idx="2">
                  <c:v>0.39999999999999947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1135157600"/>
        <c:axId val="-1135157056"/>
      </c:barChart>
      <c:catAx>
        <c:axId val="-1135157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135157056"/>
        <c:crosses val="autoZero"/>
        <c:auto val="1"/>
        <c:lblAlgn val="ctr"/>
        <c:lblOffset val="100"/>
        <c:noMultiLvlLbl val="0"/>
      </c:catAx>
      <c:valAx>
        <c:axId val="-1135157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135157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Petal width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Sheet7!$Z$8</c:f>
              <c:strCache>
                <c:ptCount val="1"/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errBars>
            <c:errBarType val="minus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Ref>
                <c:f>Sheet7!$AA$15:$AC$15</c:f>
                <c:numCache>
                  <c:formatCode>General</c:formatCode>
                  <c:ptCount val="3"/>
                  <c:pt idx="0">
                    <c:v>0.1</c:v>
                  </c:pt>
                  <c:pt idx="1">
                    <c:v>1.2</c:v>
                  </c:pt>
                  <c:pt idx="2">
                    <c:v>0.17500000000000004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Sheet7!$AA$3:$AC$3</c:f>
              <c:strCache>
                <c:ptCount val="3"/>
                <c:pt idx="0">
                  <c:v>Iris-setosa</c:v>
                </c:pt>
                <c:pt idx="1">
                  <c:v>Iris-virginica</c:v>
                </c:pt>
                <c:pt idx="2">
                  <c:v>Iris-versicolor</c:v>
                </c:pt>
              </c:strCache>
            </c:strRef>
          </c:cat>
          <c:val>
            <c:numRef>
              <c:f>Sheet7!$AA$8:$AC$8</c:f>
              <c:numCache>
                <c:formatCode>General</c:formatCode>
                <c:ptCount val="3"/>
                <c:pt idx="0">
                  <c:v>0.2</c:v>
                </c:pt>
                <c:pt idx="1">
                  <c:v>1.4</c:v>
                </c:pt>
                <c:pt idx="2">
                  <c:v>1.4750000000000001</c:v>
                </c:pt>
              </c:numCache>
            </c:numRef>
          </c:val>
        </c:ser>
        <c:ser>
          <c:idx val="1"/>
          <c:order val="1"/>
          <c:tx>
            <c:strRef>
              <c:f>Sheet7!$Z$13</c:f>
              <c:strCache>
                <c:ptCount val="1"/>
                <c:pt idx="0">
                  <c:v>Khoảng tứ phân vị thứ nhất</c:v>
                </c:pt>
              </c:strCache>
            </c:strRef>
          </c:tx>
          <c:spPr>
            <a:solidFill>
              <a:schemeClr val="bg2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Sheet7!$AA$3:$AC$3</c:f>
              <c:strCache>
                <c:ptCount val="3"/>
                <c:pt idx="0">
                  <c:v>Iris-setosa</c:v>
                </c:pt>
                <c:pt idx="1">
                  <c:v>Iris-virginica</c:v>
                </c:pt>
                <c:pt idx="2">
                  <c:v>Iris-versicolor</c:v>
                </c:pt>
              </c:strCache>
            </c:strRef>
          </c:cat>
          <c:val>
            <c:numRef>
              <c:f>Sheet7!$AA$13:$AC$13</c:f>
              <c:numCache>
                <c:formatCode>General</c:formatCode>
                <c:ptCount val="3"/>
                <c:pt idx="0">
                  <c:v>9.9999999999999978E-2</c:v>
                </c:pt>
                <c:pt idx="1">
                  <c:v>0.20000000000000018</c:v>
                </c:pt>
                <c:pt idx="2">
                  <c:v>0.57499999999999973</c:v>
                </c:pt>
              </c:numCache>
            </c:numRef>
          </c:val>
        </c:ser>
        <c:ser>
          <c:idx val="2"/>
          <c:order val="2"/>
          <c:tx>
            <c:strRef>
              <c:f>Sheet7!$Z$14</c:f>
              <c:strCache>
                <c:ptCount val="1"/>
                <c:pt idx="0">
                  <c:v>Khoảng tứ phân vụ thứ hai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Sheet7!$AA$16:$AC$16</c:f>
                <c:numCache>
                  <c:formatCode>General</c:formatCode>
                  <c:ptCount val="3"/>
                  <c:pt idx="0">
                    <c:v>1.5249999999999999</c:v>
                  </c:pt>
                  <c:pt idx="1">
                    <c:v>0.60000000000000009</c:v>
                  </c:pt>
                  <c:pt idx="2">
                    <c:v>0.20000000000000018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Sheet7!$AA$3:$AC$3</c:f>
              <c:strCache>
                <c:ptCount val="3"/>
                <c:pt idx="0">
                  <c:v>Iris-setosa</c:v>
                </c:pt>
                <c:pt idx="1">
                  <c:v>Iris-virginica</c:v>
                </c:pt>
                <c:pt idx="2">
                  <c:v>Iris-versicolor</c:v>
                </c:pt>
              </c:strCache>
            </c:strRef>
          </c:cat>
          <c:val>
            <c:numRef>
              <c:f>Sheet7!$AA$14:$AC$14</c:f>
              <c:numCache>
                <c:formatCode>General</c:formatCode>
                <c:ptCount val="3"/>
                <c:pt idx="0">
                  <c:v>0.17499999999999999</c:v>
                </c:pt>
                <c:pt idx="1">
                  <c:v>0.29999999999999982</c:v>
                </c:pt>
                <c:pt idx="2">
                  <c:v>0.25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1135153792"/>
        <c:axId val="-1187301088"/>
      </c:barChart>
      <c:catAx>
        <c:axId val="-1135153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187301088"/>
        <c:crosses val="autoZero"/>
        <c:auto val="1"/>
        <c:lblAlgn val="ctr"/>
        <c:lblOffset val="100"/>
        <c:noMultiLvlLbl val="0"/>
      </c:catAx>
      <c:valAx>
        <c:axId val="-1187301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135153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Histogram của</a:t>
            </a:r>
            <a:r>
              <a:rPr lang="en-US" baseline="0"/>
              <a:t> Iris$Sepal.Length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Frequency</c:v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'BĐ hộp'!$Q$2:$Q$7</c:f>
              <c:strCache>
                <c:ptCount val="6"/>
                <c:pt idx="0">
                  <c:v>&gt;0 đến &lt;=4</c:v>
                </c:pt>
                <c:pt idx="1">
                  <c:v>&gt;4 đến &lt;=5</c:v>
                </c:pt>
                <c:pt idx="2">
                  <c:v>&gt;5 đến &lt;=6</c:v>
                </c:pt>
                <c:pt idx="3">
                  <c:v>&gt;6 đến &lt;=7</c:v>
                </c:pt>
                <c:pt idx="4">
                  <c:v>&gt;7 đến &lt;=8</c:v>
                </c:pt>
                <c:pt idx="5">
                  <c:v>More</c:v>
                </c:pt>
              </c:strCache>
            </c:strRef>
          </c:cat>
          <c:val>
            <c:numRef>
              <c:f>'BĐ hộp'!$R$2:$R$7</c:f>
              <c:numCache>
                <c:formatCode>General</c:formatCode>
                <c:ptCount val="6"/>
                <c:pt idx="0">
                  <c:v>0</c:v>
                </c:pt>
                <c:pt idx="1">
                  <c:v>32</c:v>
                </c:pt>
                <c:pt idx="2">
                  <c:v>57</c:v>
                </c:pt>
                <c:pt idx="3">
                  <c:v>49</c:v>
                </c:pt>
                <c:pt idx="4">
                  <c:v>12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-1187292928"/>
        <c:axId val="-1187307616"/>
      </c:barChart>
      <c:catAx>
        <c:axId val="-11872929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Khoảng</a:t>
                </a:r>
                <a:r>
                  <a:rPr lang="en-US" baseline="0"/>
                  <a:t> </a:t>
                </a:r>
                <a:r>
                  <a:rPr lang="en-US"/>
                  <a:t>Sepal</a:t>
                </a:r>
                <a:r>
                  <a:rPr lang="en-US" baseline="0"/>
                  <a:t> length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1187307616"/>
        <c:crosses val="autoZero"/>
        <c:auto val="1"/>
        <c:lblAlgn val="ctr"/>
        <c:lblOffset val="100"/>
        <c:noMultiLvlLbl val="0"/>
      </c:catAx>
      <c:valAx>
        <c:axId val="-11873076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Tần</a:t>
                </a:r>
                <a:r>
                  <a:rPr lang="en-US" baseline="0"/>
                  <a:t> số xuất hiện 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11872929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3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3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93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93" workbookViewId="0" zoomToFit="1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9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4677" cy="628854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1</xdr:colOff>
      <xdr:row>26</xdr:row>
      <xdr:rowOff>23812</xdr:rowOff>
    </xdr:from>
    <xdr:to>
      <xdr:col>43</xdr:col>
      <xdr:colOff>152401</xdr:colOff>
      <xdr:row>40</xdr:row>
      <xdr:rowOff>100012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33</xdr:col>
      <xdr:colOff>390525</xdr:colOff>
      <xdr:row>29</xdr:row>
      <xdr:rowOff>52387</xdr:rowOff>
    </xdr:from>
    <xdr:to>
      <xdr:col>38</xdr:col>
      <xdr:colOff>552450</xdr:colOff>
      <xdr:row>43</xdr:row>
      <xdr:rowOff>128587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43</xdr:col>
      <xdr:colOff>571500</xdr:colOff>
      <xdr:row>25</xdr:row>
      <xdr:rowOff>61912</xdr:rowOff>
    </xdr:from>
    <xdr:to>
      <xdr:col>47</xdr:col>
      <xdr:colOff>561975</xdr:colOff>
      <xdr:row>39</xdr:row>
      <xdr:rowOff>138112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48</xdr:col>
      <xdr:colOff>561975</xdr:colOff>
      <xdr:row>24</xdr:row>
      <xdr:rowOff>157162</xdr:rowOff>
    </xdr:from>
    <xdr:to>
      <xdr:col>56</xdr:col>
      <xdr:colOff>257175</xdr:colOff>
      <xdr:row>39</xdr:row>
      <xdr:rowOff>33337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247650</xdr:colOff>
      <xdr:row>10</xdr:row>
      <xdr:rowOff>100012</xdr:rowOff>
    </xdr:from>
    <xdr:to>
      <xdr:col>18</xdr:col>
      <xdr:colOff>552450</xdr:colOff>
      <xdr:row>24</xdr:row>
      <xdr:rowOff>176212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64677" cy="628854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64677" cy="628854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664677" cy="628854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64677" cy="628854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447674</xdr:colOff>
      <xdr:row>0</xdr:row>
      <xdr:rowOff>114300</xdr:rowOff>
    </xdr:from>
    <xdr:to>
      <xdr:col>16</xdr:col>
      <xdr:colOff>9525</xdr:colOff>
      <xdr:row>26</xdr:row>
      <xdr:rowOff>161925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257175</xdr:colOff>
      <xdr:row>3</xdr:row>
      <xdr:rowOff>104775</xdr:rowOff>
    </xdr:from>
    <xdr:to>
      <xdr:col>19</xdr:col>
      <xdr:colOff>171451</xdr:colOff>
      <xdr:row>24</xdr:row>
      <xdr:rowOff>95250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ngo ky" refreshedDate="42994.948147685187" createdVersion="5" refreshedVersion="5" minRefreshableVersion="3" recordCount="150">
  <cacheSource type="worksheet">
    <worksheetSource ref="T1:T151" sheet="BĐ hộp"/>
  </cacheSource>
  <cacheFields count="1">
    <cacheField name="sepal width" numFmtId="0">
      <sharedItems containsSemiMixedTypes="0" containsString="0" containsNumber="1" minValue="2" maxValue="4.4000000000000004" count="23">
        <n v="2"/>
        <n v="2.2000000000000002"/>
        <n v="2.2999999999999998"/>
        <n v="2.4"/>
        <n v="2.5"/>
        <n v="2.6"/>
        <n v="2.7"/>
        <n v="2.8"/>
        <n v="2.9"/>
        <n v="3"/>
        <n v="3.1"/>
        <n v="3.2"/>
        <n v="3.3"/>
        <n v="3.4"/>
        <n v="3.5"/>
        <n v="3.6"/>
        <n v="3.7"/>
        <n v="3.8"/>
        <n v="3.9"/>
        <n v="4"/>
        <n v="4.0999999999999996"/>
        <n v="4.2"/>
        <n v="4.4000000000000004"/>
      </sharedItems>
      <fieldGroup base="0">
        <rangePr autoStart="0" autoEnd="0" startNum="1.5" endNum="4.5" groupInterval="0.5"/>
        <groupItems count="8">
          <s v="&lt;1.5"/>
          <s v="1.5-2"/>
          <s v="2-2.5"/>
          <s v="2.5-3"/>
          <s v="3-3.5"/>
          <s v="3.5-4"/>
          <s v="4-4.5"/>
          <s v="&gt;4.5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ngo ky" refreshedDate="42994.958972685185" createdVersion="5" refreshedVersion="5" minRefreshableVersion="3" recordCount="150">
  <cacheSource type="worksheet">
    <worksheetSource ref="AA1:AA151" sheet="BĐ hộp"/>
  </cacheSource>
  <cacheFields count="1">
    <cacheField name="petal length" numFmtId="0">
      <sharedItems containsSemiMixedTypes="0" containsString="0" containsNumber="1" minValue="1" maxValue="6.9" count="43">
        <n v="1"/>
        <n v="1.1000000000000001"/>
        <n v="1.2"/>
        <n v="1.3"/>
        <n v="1.4"/>
        <n v="1.5"/>
        <n v="1.6"/>
        <n v="1.7"/>
        <n v="1.9"/>
        <n v="3"/>
        <n v="3.3"/>
        <n v="3.5"/>
        <n v="3.6"/>
        <n v="3.7"/>
        <n v="3.8"/>
        <n v="3.9"/>
        <n v="4"/>
        <n v="4.0999999999999996"/>
        <n v="4.2"/>
        <n v="4.3"/>
        <n v="4.4000000000000004"/>
        <n v="4.5"/>
        <n v="4.5999999999999996"/>
        <n v="4.7"/>
        <n v="4.8"/>
        <n v="4.9000000000000004"/>
        <n v="5"/>
        <n v="5.0999999999999996"/>
        <n v="5.2"/>
        <n v="5.3"/>
        <n v="5.4"/>
        <n v="5.5"/>
        <n v="5.6"/>
        <n v="5.7"/>
        <n v="5.8"/>
        <n v="5.9"/>
        <n v="6"/>
        <n v="6.1"/>
        <n v="6.3"/>
        <n v="6.4"/>
        <n v="6.6"/>
        <n v="6.7"/>
        <n v="6.9"/>
      </sharedItems>
      <fieldGroup base="0">
        <rangePr autoEnd="0" startNum="1" endNum="7"/>
        <groupItems count="8">
          <s v="&lt;1"/>
          <s v="1-2"/>
          <s v="2-3"/>
          <s v="3-4"/>
          <s v="4-5"/>
          <s v="5-6"/>
          <s v="6-7"/>
          <s v="&gt;7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ngo ky" refreshedDate="42994.969775578706" createdVersion="5" refreshedVersion="5" minRefreshableVersion="3" recordCount="150">
  <cacheSource type="worksheet">
    <worksheetSource ref="A1:A151" sheet="BĐ tần số PW"/>
  </cacheSource>
  <cacheFields count="1">
    <cacheField name="petal width" numFmtId="0">
      <sharedItems containsSemiMixedTypes="0" containsString="0" containsNumber="1" minValue="0.1" maxValue="2.5" count="22">
        <n v="0.1"/>
        <n v="0.2"/>
        <n v="0.3"/>
        <n v="0.4"/>
        <n v="0.5"/>
        <n v="0.6"/>
        <n v="1"/>
        <n v="1.1000000000000001"/>
        <n v="1.2"/>
        <n v="1.3"/>
        <n v="1.4"/>
        <n v="1.5"/>
        <n v="1.6"/>
        <n v="1.7"/>
        <n v="1.8"/>
        <n v="1.9"/>
        <n v="2"/>
        <n v="2.1"/>
        <n v="2.2000000000000002"/>
        <n v="2.2999999999999998"/>
        <n v="2.4"/>
        <n v="2.5"/>
      </sharedItems>
      <fieldGroup base="0">
        <rangePr autoStart="0" autoEnd="0" startNum="0" endNum="2.5" groupInterval="0.5"/>
        <groupItems count="7">
          <s v="&lt;0"/>
          <s v="0-0.5"/>
          <s v="0.5-1"/>
          <s v="1-1.5"/>
          <s v="1.5-2"/>
          <s v="2-2.5"/>
          <s v="&gt;2.5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0">
  <r>
    <x v="0"/>
  </r>
  <r>
    <x v="1"/>
  </r>
  <r>
    <x v="1"/>
  </r>
  <r>
    <x v="1"/>
  </r>
  <r>
    <x v="2"/>
  </r>
  <r>
    <x v="2"/>
  </r>
  <r>
    <x v="2"/>
  </r>
  <r>
    <x v="2"/>
  </r>
  <r>
    <x v="3"/>
  </r>
  <r>
    <x v="3"/>
  </r>
  <r>
    <x v="3"/>
  </r>
  <r>
    <x v="4"/>
  </r>
  <r>
    <x v="4"/>
  </r>
  <r>
    <x v="4"/>
  </r>
  <r>
    <x v="4"/>
  </r>
  <r>
    <x v="4"/>
  </r>
  <r>
    <x v="4"/>
  </r>
  <r>
    <x v="4"/>
  </r>
  <r>
    <x v="4"/>
  </r>
  <r>
    <x v="5"/>
  </r>
  <r>
    <x v="5"/>
  </r>
  <r>
    <x v="5"/>
  </r>
  <r>
    <x v="5"/>
  </r>
  <r>
    <x v="5"/>
  </r>
  <r>
    <x v="6"/>
  </r>
  <r>
    <x v="6"/>
  </r>
  <r>
    <x v="6"/>
  </r>
  <r>
    <x v="6"/>
  </r>
  <r>
    <x v="6"/>
  </r>
  <r>
    <x v="6"/>
  </r>
  <r>
    <x v="6"/>
  </r>
  <r>
    <x v="6"/>
  </r>
  <r>
    <x v="6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2"/>
  </r>
  <r>
    <x v="12"/>
  </r>
  <r>
    <x v="12"/>
  </r>
  <r>
    <x v="12"/>
  </r>
  <r>
    <x v="12"/>
  </r>
  <r>
    <x v="12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4"/>
  </r>
  <r>
    <x v="14"/>
  </r>
  <r>
    <x v="14"/>
  </r>
  <r>
    <x v="14"/>
  </r>
  <r>
    <x v="14"/>
  </r>
  <r>
    <x v="14"/>
  </r>
  <r>
    <x v="15"/>
  </r>
  <r>
    <x v="15"/>
  </r>
  <r>
    <x v="15"/>
  </r>
  <r>
    <x v="16"/>
  </r>
  <r>
    <x v="16"/>
  </r>
  <r>
    <x v="16"/>
  </r>
  <r>
    <x v="17"/>
  </r>
  <r>
    <x v="17"/>
  </r>
  <r>
    <x v="17"/>
  </r>
  <r>
    <x v="17"/>
  </r>
  <r>
    <x v="17"/>
  </r>
  <r>
    <x v="17"/>
  </r>
  <r>
    <x v="18"/>
  </r>
  <r>
    <x v="18"/>
  </r>
  <r>
    <x v="19"/>
  </r>
  <r>
    <x v="20"/>
  </r>
  <r>
    <x v="21"/>
  </r>
  <r>
    <x v="22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50">
  <r>
    <x v="0"/>
  </r>
  <r>
    <x v="1"/>
  </r>
  <r>
    <x v="2"/>
  </r>
  <r>
    <x v="2"/>
  </r>
  <r>
    <x v="3"/>
  </r>
  <r>
    <x v="3"/>
  </r>
  <r>
    <x v="3"/>
  </r>
  <r>
    <x v="3"/>
  </r>
  <r>
    <x v="3"/>
  </r>
  <r>
    <x v="3"/>
  </r>
  <r>
    <x v="3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6"/>
  </r>
  <r>
    <x v="6"/>
  </r>
  <r>
    <x v="6"/>
  </r>
  <r>
    <x v="6"/>
  </r>
  <r>
    <x v="6"/>
  </r>
  <r>
    <x v="6"/>
  </r>
  <r>
    <x v="6"/>
  </r>
  <r>
    <x v="7"/>
  </r>
  <r>
    <x v="7"/>
  </r>
  <r>
    <x v="7"/>
  </r>
  <r>
    <x v="7"/>
  </r>
  <r>
    <x v="8"/>
  </r>
  <r>
    <x v="8"/>
  </r>
  <r>
    <x v="9"/>
  </r>
  <r>
    <x v="10"/>
  </r>
  <r>
    <x v="10"/>
  </r>
  <r>
    <x v="11"/>
  </r>
  <r>
    <x v="11"/>
  </r>
  <r>
    <x v="12"/>
  </r>
  <r>
    <x v="13"/>
  </r>
  <r>
    <x v="14"/>
  </r>
  <r>
    <x v="15"/>
  </r>
  <r>
    <x v="15"/>
  </r>
  <r>
    <x v="15"/>
  </r>
  <r>
    <x v="16"/>
  </r>
  <r>
    <x v="16"/>
  </r>
  <r>
    <x v="16"/>
  </r>
  <r>
    <x v="16"/>
  </r>
  <r>
    <x v="16"/>
  </r>
  <r>
    <x v="17"/>
  </r>
  <r>
    <x v="17"/>
  </r>
  <r>
    <x v="17"/>
  </r>
  <r>
    <x v="18"/>
  </r>
  <r>
    <x v="18"/>
  </r>
  <r>
    <x v="18"/>
  </r>
  <r>
    <x v="18"/>
  </r>
  <r>
    <x v="19"/>
  </r>
  <r>
    <x v="19"/>
  </r>
  <r>
    <x v="20"/>
  </r>
  <r>
    <x v="20"/>
  </r>
  <r>
    <x v="20"/>
  </r>
  <r>
    <x v="20"/>
  </r>
  <r>
    <x v="21"/>
  </r>
  <r>
    <x v="21"/>
  </r>
  <r>
    <x v="21"/>
  </r>
  <r>
    <x v="21"/>
  </r>
  <r>
    <x v="21"/>
  </r>
  <r>
    <x v="21"/>
  </r>
  <r>
    <x v="21"/>
  </r>
  <r>
    <x v="21"/>
  </r>
  <r>
    <x v="22"/>
  </r>
  <r>
    <x v="22"/>
  </r>
  <r>
    <x v="22"/>
  </r>
  <r>
    <x v="23"/>
  </r>
  <r>
    <x v="23"/>
  </r>
  <r>
    <x v="23"/>
  </r>
  <r>
    <x v="23"/>
  </r>
  <r>
    <x v="23"/>
  </r>
  <r>
    <x v="24"/>
  </r>
  <r>
    <x v="24"/>
  </r>
  <r>
    <x v="24"/>
  </r>
  <r>
    <x v="24"/>
  </r>
  <r>
    <x v="25"/>
  </r>
  <r>
    <x v="25"/>
  </r>
  <r>
    <x v="25"/>
  </r>
  <r>
    <x v="25"/>
  </r>
  <r>
    <x v="25"/>
  </r>
  <r>
    <x v="26"/>
  </r>
  <r>
    <x v="26"/>
  </r>
  <r>
    <x v="26"/>
  </r>
  <r>
    <x v="26"/>
  </r>
  <r>
    <x v="27"/>
  </r>
  <r>
    <x v="27"/>
  </r>
  <r>
    <x v="27"/>
  </r>
  <r>
    <x v="27"/>
  </r>
  <r>
    <x v="27"/>
  </r>
  <r>
    <x v="27"/>
  </r>
  <r>
    <x v="27"/>
  </r>
  <r>
    <x v="27"/>
  </r>
  <r>
    <x v="28"/>
  </r>
  <r>
    <x v="28"/>
  </r>
  <r>
    <x v="29"/>
  </r>
  <r>
    <x v="29"/>
  </r>
  <r>
    <x v="30"/>
  </r>
  <r>
    <x v="30"/>
  </r>
  <r>
    <x v="31"/>
  </r>
  <r>
    <x v="31"/>
  </r>
  <r>
    <x v="31"/>
  </r>
  <r>
    <x v="32"/>
  </r>
  <r>
    <x v="32"/>
  </r>
  <r>
    <x v="32"/>
  </r>
  <r>
    <x v="32"/>
  </r>
  <r>
    <x v="32"/>
  </r>
  <r>
    <x v="32"/>
  </r>
  <r>
    <x v="33"/>
  </r>
  <r>
    <x v="33"/>
  </r>
  <r>
    <x v="33"/>
  </r>
  <r>
    <x v="34"/>
  </r>
  <r>
    <x v="34"/>
  </r>
  <r>
    <x v="34"/>
  </r>
  <r>
    <x v="35"/>
  </r>
  <r>
    <x v="35"/>
  </r>
  <r>
    <x v="36"/>
  </r>
  <r>
    <x v="36"/>
  </r>
  <r>
    <x v="37"/>
  </r>
  <r>
    <x v="37"/>
  </r>
  <r>
    <x v="37"/>
  </r>
  <r>
    <x v="38"/>
  </r>
  <r>
    <x v="39"/>
  </r>
  <r>
    <x v="40"/>
  </r>
  <r>
    <x v="41"/>
  </r>
  <r>
    <x v="41"/>
  </r>
  <r>
    <x v="42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150">
  <r>
    <x v="0"/>
  </r>
  <r>
    <x v="0"/>
  </r>
  <r>
    <x v="0"/>
  </r>
  <r>
    <x v="0"/>
  </r>
  <r>
    <x v="0"/>
  </r>
  <r>
    <x v="0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2"/>
  </r>
  <r>
    <x v="2"/>
  </r>
  <r>
    <x v="2"/>
  </r>
  <r>
    <x v="2"/>
  </r>
  <r>
    <x v="2"/>
  </r>
  <r>
    <x v="2"/>
  </r>
  <r>
    <x v="2"/>
  </r>
  <r>
    <x v="3"/>
  </r>
  <r>
    <x v="3"/>
  </r>
  <r>
    <x v="3"/>
  </r>
  <r>
    <x v="3"/>
  </r>
  <r>
    <x v="3"/>
  </r>
  <r>
    <x v="3"/>
  </r>
  <r>
    <x v="3"/>
  </r>
  <r>
    <x v="4"/>
  </r>
  <r>
    <x v="5"/>
  </r>
  <r>
    <x v="6"/>
  </r>
  <r>
    <x v="6"/>
  </r>
  <r>
    <x v="6"/>
  </r>
  <r>
    <x v="6"/>
  </r>
  <r>
    <x v="6"/>
  </r>
  <r>
    <x v="6"/>
  </r>
  <r>
    <x v="6"/>
  </r>
  <r>
    <x v="7"/>
  </r>
  <r>
    <x v="7"/>
  </r>
  <r>
    <x v="7"/>
  </r>
  <r>
    <x v="8"/>
  </r>
  <r>
    <x v="8"/>
  </r>
  <r>
    <x v="8"/>
  </r>
  <r>
    <x v="8"/>
  </r>
  <r>
    <x v="8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10"/>
  </r>
  <r>
    <x v="10"/>
  </r>
  <r>
    <x v="10"/>
  </r>
  <r>
    <x v="10"/>
  </r>
  <r>
    <x v="10"/>
  </r>
  <r>
    <x v="10"/>
  </r>
  <r>
    <x v="10"/>
  </r>
  <r>
    <x v="10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2"/>
  </r>
  <r>
    <x v="12"/>
  </r>
  <r>
    <x v="12"/>
  </r>
  <r>
    <x v="12"/>
  </r>
  <r>
    <x v="13"/>
  </r>
  <r>
    <x v="13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5"/>
  </r>
  <r>
    <x v="15"/>
  </r>
  <r>
    <x v="15"/>
  </r>
  <r>
    <x v="15"/>
  </r>
  <r>
    <x v="15"/>
  </r>
  <r>
    <x v="16"/>
  </r>
  <r>
    <x v="16"/>
  </r>
  <r>
    <x v="16"/>
  </r>
  <r>
    <x v="16"/>
  </r>
  <r>
    <x v="16"/>
  </r>
  <r>
    <x v="16"/>
  </r>
  <r>
    <x v="17"/>
  </r>
  <r>
    <x v="17"/>
  </r>
  <r>
    <x v="17"/>
  </r>
  <r>
    <x v="17"/>
  </r>
  <r>
    <x v="17"/>
  </r>
  <r>
    <x v="17"/>
  </r>
  <r>
    <x v="18"/>
  </r>
  <r>
    <x v="18"/>
  </r>
  <r>
    <x v="18"/>
  </r>
  <r>
    <x v="19"/>
  </r>
  <r>
    <x v="19"/>
  </r>
  <r>
    <x v="19"/>
  </r>
  <r>
    <x v="19"/>
  </r>
  <r>
    <x v="19"/>
  </r>
  <r>
    <x v="19"/>
  </r>
  <r>
    <x v="19"/>
  </r>
  <r>
    <x v="19"/>
  </r>
  <r>
    <x v="20"/>
  </r>
  <r>
    <x v="20"/>
  </r>
  <r>
    <x v="20"/>
  </r>
  <r>
    <x v="21"/>
  </r>
  <r>
    <x v="21"/>
  </r>
  <r>
    <x v="2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name="PivotTable5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V1:X7" firstHeaderRow="0" firstDataRow="1" firstDataCol="1"/>
  <pivotFields count="1">
    <pivotField axis="axisRow" dataField="1" showAll="0">
      <items count="9">
        <item x="0"/>
        <item x="1"/>
        <item x="2"/>
        <item x="3"/>
        <item x="4"/>
        <item x="5"/>
        <item x="6"/>
        <item x="7"/>
        <item t="default"/>
      </items>
    </pivotField>
  </pivotFields>
  <rowFields count="1">
    <field x="0"/>
  </rowFields>
  <rowItems count="6">
    <i>
      <x v="2"/>
    </i>
    <i>
      <x v="3"/>
    </i>
    <i>
      <x v="4"/>
    </i>
    <i>
      <x v="5"/>
    </i>
    <i>
      <x v="6"/>
    </i>
    <i t="grand">
      <x/>
    </i>
  </rowItems>
  <colFields count="1">
    <field x="-2"/>
  </colFields>
  <colItems count="2">
    <i>
      <x/>
    </i>
    <i i="1">
      <x v="1"/>
    </i>
  </colItems>
  <dataFields count="2">
    <dataField name="Frequency" fld="0" subtotal="count" baseField="0" baseItem="0"/>
    <dataField name="%" fld="0" subtotal="count" showDataAs="percentOfCol" baseField="0" baseItem="0" numFmtId="1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7" cacheId="1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C9" firstHeaderRow="0" firstDataRow="1" firstDataCol="1"/>
  <pivotFields count="1">
    <pivotField axis="axisRow" dataField="1" showAll="0">
      <items count="9">
        <item x="0"/>
        <item x="1"/>
        <item x="2"/>
        <item x="3"/>
        <item x="4"/>
        <item x="5"/>
        <item x="6"/>
        <item x="7"/>
        <item t="default"/>
      </items>
    </pivotField>
  </pivotFields>
  <rowFields count="1">
    <field x="0"/>
  </rowFields>
  <rowItems count="6">
    <i>
      <x v="1"/>
    </i>
    <i>
      <x v="3"/>
    </i>
    <i>
      <x v="4"/>
    </i>
    <i>
      <x v="5"/>
    </i>
    <i>
      <x v="6"/>
    </i>
    <i t="grand">
      <x/>
    </i>
  </rowItems>
  <colFields count="1">
    <field x="-2"/>
  </colFields>
  <colItems count="2">
    <i>
      <x/>
    </i>
    <i i="1">
      <x v="1"/>
    </i>
  </colItems>
  <dataFields count="2">
    <dataField name="Frequency" fld="0" subtotal="count" baseField="0" baseItem="0"/>
    <dataField name="%" fld="0" subtotal="count" showDataAs="percentOfCol" baseField="0" baseItem="0" numFmtId="1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8" cacheId="2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C1:E7" firstHeaderRow="0" firstDataRow="1" firstDataCol="1"/>
  <pivotFields count="1">
    <pivotField axis="axisRow" dataField="1" showAll="0">
      <items count="8">
        <item x="0"/>
        <item x="1"/>
        <item x="2"/>
        <item x="3"/>
        <item x="4"/>
        <item x="5"/>
        <item x="6"/>
        <item t="default"/>
      </items>
    </pivotField>
  </pivotFields>
  <rowFields count="1">
    <field x="0"/>
  </rowFields>
  <rowItems count="6">
    <i>
      <x v="1"/>
    </i>
    <i>
      <x v="2"/>
    </i>
    <i>
      <x v="3"/>
    </i>
    <i>
      <x v="4"/>
    </i>
    <i>
      <x v="5"/>
    </i>
    <i t="grand">
      <x/>
    </i>
  </rowItems>
  <colFields count="1">
    <field x="-2"/>
  </colFields>
  <colItems count="2">
    <i>
      <x/>
    </i>
    <i i="1">
      <x v="1"/>
    </i>
  </colItems>
  <dataFields count="2">
    <dataField name="Frequency" fld="0" subtotal="count" baseField="0" baseItem="0"/>
    <dataField name="%" fld="0" subtotal="count" showDataAs="percentOfCol" baseField="0" baseItem="0" numFmtId="1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ivotTable" Target="../pivotTables/pivotTable2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89"/>
  <sheetViews>
    <sheetView tabSelected="1" topLeftCell="A162" zoomScale="82" zoomScaleNormal="82" workbookViewId="0">
      <selection activeCell="H183" sqref="H183"/>
    </sheetView>
  </sheetViews>
  <sheetFormatPr defaultRowHeight="15" x14ac:dyDescent="0.25"/>
  <cols>
    <col min="1" max="1" width="14.42578125" customWidth="1"/>
    <col min="2" max="2" width="11.5703125" customWidth="1"/>
    <col min="3" max="3" width="11.28515625" customWidth="1"/>
    <col min="7" max="7" width="14.42578125" customWidth="1"/>
    <col min="14" max="14" width="11" customWidth="1"/>
    <col min="15" max="15" width="12" customWidth="1"/>
    <col min="17" max="17" width="9.140625" style="2"/>
    <col min="18" max="18" width="9.140625" style="1"/>
    <col min="19" max="19" width="11.5703125" customWidth="1"/>
    <col min="27" max="27" width="9.140625" style="2"/>
    <col min="28" max="28" width="9.140625" style="1"/>
    <col min="29" max="29" width="11.28515625" customWidth="1"/>
    <col min="31" max="31" width="9.140625" style="3"/>
    <col min="37" max="37" width="9.140625" style="2"/>
    <col min="38" max="38" width="9.140625" style="1"/>
    <col min="47" max="47" width="9.140625" style="2"/>
  </cols>
  <sheetData>
    <row r="1" spans="1:4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G1" t="s">
        <v>0</v>
      </c>
      <c r="J1" t="s">
        <v>8</v>
      </c>
      <c r="L1" s="31"/>
      <c r="M1" s="31"/>
      <c r="N1" s="31" t="s">
        <v>11</v>
      </c>
      <c r="O1" s="31" t="s">
        <v>12</v>
      </c>
      <c r="P1" s="31" t="s">
        <v>15</v>
      </c>
      <c r="Q1" s="33" t="s">
        <v>19</v>
      </c>
      <c r="S1" t="s">
        <v>1</v>
      </c>
      <c r="T1" t="s">
        <v>8</v>
      </c>
      <c r="V1" s="31"/>
      <c r="W1" s="31"/>
      <c r="X1" s="31" t="s">
        <v>13</v>
      </c>
      <c r="Y1" s="31" t="s">
        <v>16</v>
      </c>
      <c r="Z1" s="31" t="s">
        <v>15</v>
      </c>
      <c r="AA1" s="33" t="s">
        <v>20</v>
      </c>
      <c r="AC1" t="s">
        <v>2</v>
      </c>
      <c r="AD1" t="s">
        <v>17</v>
      </c>
      <c r="AF1" s="31"/>
      <c r="AG1" s="31"/>
      <c r="AH1" s="31" t="s">
        <v>18</v>
      </c>
      <c r="AI1" s="31" t="s">
        <v>16</v>
      </c>
      <c r="AJ1" s="31" t="s">
        <v>14</v>
      </c>
      <c r="AK1" s="33" t="s">
        <v>20</v>
      </c>
      <c r="AM1" t="s">
        <v>3</v>
      </c>
      <c r="AN1" t="s">
        <v>17</v>
      </c>
      <c r="AP1" s="31"/>
      <c r="AQ1" s="31"/>
      <c r="AR1" s="31" t="s">
        <v>18</v>
      </c>
      <c r="AS1" s="31" t="s">
        <v>16</v>
      </c>
      <c r="AT1" s="31" t="s">
        <v>15</v>
      </c>
      <c r="AU1" s="33" t="s">
        <v>20</v>
      </c>
    </row>
    <row r="2" spans="1:47" x14ac:dyDescent="0.25">
      <c r="A2">
        <v>5.0999999999999996</v>
      </c>
      <c r="B2">
        <v>3</v>
      </c>
      <c r="C2">
        <v>1.1000000000000001</v>
      </c>
      <c r="D2">
        <v>0.1</v>
      </c>
      <c r="E2" t="s">
        <v>5</v>
      </c>
      <c r="G2">
        <v>4.3</v>
      </c>
      <c r="J2">
        <f>AVERAGE(G2:G3)</f>
        <v>4.3499999999999996</v>
      </c>
      <c r="L2" s="31">
        <v>4.3499999999999996</v>
      </c>
      <c r="M2" s="31" t="s">
        <v>9</v>
      </c>
      <c r="N2" s="31">
        <f>COUNTIFS(A2:A121, "&lt; 4.35", E2:E121,"Iris-setosa")</f>
        <v>0</v>
      </c>
      <c r="O2" s="31">
        <f>COUNTIFS(A2:A121, "&lt; 4.35", E2:E121,"Iris-versicolor")</f>
        <v>0</v>
      </c>
      <c r="P2" s="31">
        <f>COUNTIFS(A2:A121, "&lt; 4.35", E2:E121,"Iris-virginica")</f>
        <v>0</v>
      </c>
      <c r="Q2" s="34">
        <f>(1-POWER(N3/SUM(N3,O3,P3),2)-POWER(O3/SUM(N3,O3,P3),2)-POWER(P3/SUM(N3,O3,P3),2))*SUM(N3,O3,P3)/120</f>
        <v>0.66666666666666652</v>
      </c>
      <c r="S2">
        <v>2</v>
      </c>
      <c r="T2">
        <f>AVERAGE(S2:S3)</f>
        <v>2.1</v>
      </c>
      <c r="V2" s="31">
        <v>2.1</v>
      </c>
      <c r="W2" s="31" t="s">
        <v>9</v>
      </c>
      <c r="X2" s="31">
        <f>COUNTIFS(B2:B121, "&lt; 2.1", E2:E121,"Iris-setosa")</f>
        <v>0</v>
      </c>
      <c r="Y2" s="31">
        <f>COUNTIFS(B2:B149, "&lt; 2.1", E2:E149,"Iris-versicolor")</f>
        <v>1</v>
      </c>
      <c r="Z2" s="31">
        <f>COUNTIFS(B2:B149, "&lt; 2.1", E2:E149,"Iris-virginica")</f>
        <v>0</v>
      </c>
      <c r="AA2" s="34">
        <f>(1-POWER(X2/SUM(X2,Y2,Z2),2)-POWER(Y2/SUM(X2,Y2,Z2),2)-POWER(Z2/SUM(X2,Y2,Z2),2))*SUM(X2,Y2,Z2)/120+(1-POWER(X3/SUM(X3,Y3,Z3),2)-POWER(Y3/SUM(X3,Y3,Z3),2)-POWER(Z3/SUM(X3,Y3,Z3),2))*SUM(X3,Y3,Z3)/120</f>
        <v>0.661064425770308</v>
      </c>
      <c r="AC2">
        <v>1</v>
      </c>
      <c r="AD2">
        <f>AVERAGE(AC2,AC3)</f>
        <v>1.05</v>
      </c>
      <c r="AF2" s="31">
        <v>1.05</v>
      </c>
      <c r="AG2" s="31" t="s">
        <v>9</v>
      </c>
      <c r="AH2" s="31">
        <f>COUNTIFS(C2:C149, "&lt; 1.05", E2:E149,"Iris-setosa")</f>
        <v>1</v>
      </c>
      <c r="AI2" s="31">
        <f>COUNTIFS(C2:C149, "&lt; 1.05", E2:E149,"Iris-versicolor")</f>
        <v>0</v>
      </c>
      <c r="AJ2" s="31">
        <f>COUNTIFS(C2:C149, "&lt; 1.05", E2:E149,"Iris-virginica")</f>
        <v>0</v>
      </c>
      <c r="AK2" s="34">
        <f>(1-POWER(AH2/SUM(AH2,AI2,AJ2),2)-POWER(AI2/SUM(AH2,AI2,AJ2),2)-POWER(AJ2/SUM(AH2,AI2,AJ2),2))*SUM(AH2,AI2,AJ2)/120+(1-POWER(AH3/SUM(AH3,AI3,AJ3),2)-POWER(AI3/SUM(AH3,AI3,AJ3),2)-POWER(AJ3/SUM(AH3,AI3,AJ3),2))*SUM(AH3,AI3,AJ3)/120</f>
        <v>0.661064425770308</v>
      </c>
      <c r="AM2">
        <v>0.1</v>
      </c>
      <c r="AN2">
        <f>AVERAGE(AM2,AM3)</f>
        <v>0.15000000000000002</v>
      </c>
      <c r="AP2" s="31">
        <v>0.15</v>
      </c>
      <c r="AQ2" s="31" t="s">
        <v>9</v>
      </c>
      <c r="AR2" s="31">
        <f>COUNTIFS(D2:D121, "&lt; 0.15", E2:E121,"Iris-setosa")</f>
        <v>4</v>
      </c>
      <c r="AS2" s="31">
        <f>COUNTIFS(D2:D121, "&lt; 0.15", E2:E121,"Iris-versicolor")</f>
        <v>0</v>
      </c>
      <c r="AT2" s="31">
        <f>COUNTIFS(D2:D121, "&lt; 0.15", E2:E121,"Iris-virginica")</f>
        <v>0</v>
      </c>
      <c r="AU2" s="34">
        <f>(1-POWER(AR2/SUM(AR2,AS2,AT2),2)-POWER(AS2/SUM(AR2,AS2,AT2),2)-POWER(AT2/SUM(AR2,AS2,AT2),2))*SUM(AR2,AS2,AT2)/120+(1-POWER(AR3/SUM(AR3,AS3,AT3),2)-POWER(AS3/SUM(AR3,AS3,AT3),2)-POWER(AT3/SUM(AR3,AS3,AT3),2))*SUM(AR3,AS3,AT3)/120</f>
        <v>0.64367816091954011</v>
      </c>
    </row>
    <row r="3" spans="1:47" x14ac:dyDescent="0.25">
      <c r="A3">
        <v>4.9000000000000004</v>
      </c>
      <c r="B3">
        <v>2.9</v>
      </c>
      <c r="C3">
        <v>1.4</v>
      </c>
      <c r="D3">
        <v>0.2</v>
      </c>
      <c r="E3" t="s">
        <v>5</v>
      </c>
      <c r="G3">
        <f xml:space="preserve"> G2+0.1</f>
        <v>4.3999999999999995</v>
      </c>
      <c r="J3">
        <f t="shared" ref="J3:J35" si="0">AVERAGE(G3:G4)</f>
        <v>4.4499999999999993</v>
      </c>
      <c r="L3" s="31"/>
      <c r="M3" s="31" t="s">
        <v>10</v>
      </c>
      <c r="N3" s="31">
        <f>COUNTIFS(A2:A149, "&gt;=4.35", E2:E149,"Iris-setosa")</f>
        <v>40</v>
      </c>
      <c r="O3" s="31">
        <f>COUNTIFS(A2:A149, "&gt;=4.35", E2:E149,"Iris-versicolor")</f>
        <v>40</v>
      </c>
      <c r="P3" s="31">
        <f>COUNTIFS(A2:A149, "&gt;=4.35", E2:E149,"Iris-virginica")</f>
        <v>40</v>
      </c>
      <c r="Q3" s="34"/>
      <c r="S3">
        <v>2.2000000000000002</v>
      </c>
      <c r="T3">
        <f t="shared" ref="T3:T23" si="1">AVERAGE(S3:S4)</f>
        <v>2.25</v>
      </c>
      <c r="V3" s="31"/>
      <c r="W3" s="31" t="s">
        <v>10</v>
      </c>
      <c r="X3" s="31">
        <f>COUNTIFS(B2:B121, "&gt;=2.1", E2:E121,"Iris-setosa")</f>
        <v>40</v>
      </c>
      <c r="Y3" s="31">
        <f>40-Y2</f>
        <v>39</v>
      </c>
      <c r="Z3" s="31">
        <v>40</v>
      </c>
      <c r="AA3" s="34"/>
      <c r="AC3">
        <v>1.1000000000000001</v>
      </c>
      <c r="AD3">
        <f t="shared" ref="AD3:AD42" si="2">AVERAGE(AC3,AC4)</f>
        <v>1.1499999999999999</v>
      </c>
      <c r="AF3" s="31"/>
      <c r="AG3" s="31" t="s">
        <v>10</v>
      </c>
      <c r="AH3" s="31">
        <v>39</v>
      </c>
      <c r="AI3" s="31">
        <v>40</v>
      </c>
      <c r="AJ3" s="31">
        <v>40</v>
      </c>
      <c r="AK3" s="34"/>
      <c r="AM3">
        <v>0.2</v>
      </c>
      <c r="AN3">
        <f t="shared" ref="AN3:AN22" si="3">AVERAGE(AM3,AM4)</f>
        <v>0.25</v>
      </c>
      <c r="AP3" s="31"/>
      <c r="AQ3" s="31" t="s">
        <v>10</v>
      </c>
      <c r="AR3" s="31">
        <v>36</v>
      </c>
      <c r="AS3" s="31">
        <v>40</v>
      </c>
      <c r="AT3" s="31">
        <v>40</v>
      </c>
      <c r="AU3" s="34"/>
    </row>
    <row r="4" spans="1:47" x14ac:dyDescent="0.25">
      <c r="A4">
        <v>4.7</v>
      </c>
      <c r="B4">
        <v>3</v>
      </c>
      <c r="C4">
        <v>1.3</v>
      </c>
      <c r="D4">
        <v>0.2</v>
      </c>
      <c r="E4" t="s">
        <v>5</v>
      </c>
      <c r="G4">
        <f xml:space="preserve"> G3+0.1</f>
        <v>4.4999999999999991</v>
      </c>
      <c r="J4">
        <f t="shared" si="0"/>
        <v>4.5499999999999989</v>
      </c>
      <c r="L4" s="31">
        <v>4.45</v>
      </c>
      <c r="M4" s="31" t="s">
        <v>9</v>
      </c>
      <c r="N4" s="31">
        <f>COUNTIFS(A2:A121, "&lt;4.45", E2:E121,"Iris-setosa")</f>
        <v>2</v>
      </c>
      <c r="O4" s="31">
        <f>COUNTIFS(A2:A149, "&lt;4.45", E2:E149,"Iris-versicolor")</f>
        <v>0</v>
      </c>
      <c r="P4" s="31">
        <f>COUNTIFS(A2:A149, "&lt;4.45", E2:E149,"Iris-virginica")</f>
        <v>0</v>
      </c>
      <c r="Q4" s="34">
        <f>(1-POWER(N4/SUM(N4,O4,P4),2)-POWER(O4/SUM(N4,O4,P4),2)-POWER(P4/SUM(N4,O4,P4),2))*SUM(N4,O4,P4)/120+(1-POWER(N5/SUM(N5,O5,P5),2)-POWER(O5/SUM(N5,O5,P5),2)-POWER(P5/SUM(N5,O5,P5),2))*SUM(N5,O5,P5)/120</f>
        <v>0.65536723163841815</v>
      </c>
      <c r="S4">
        <f>S3+0.1</f>
        <v>2.3000000000000003</v>
      </c>
      <c r="T4">
        <f t="shared" si="1"/>
        <v>2.3500000000000005</v>
      </c>
      <c r="V4" s="31">
        <v>2.25</v>
      </c>
      <c r="W4" s="31" t="s">
        <v>9</v>
      </c>
      <c r="X4" s="31">
        <f>COUNTIFS(B2:B121, "&lt; 2.25", E2:E121,"Iris-setosa")</f>
        <v>0</v>
      </c>
      <c r="Y4" s="31">
        <f>COUNTIFS(B2:B149, "&lt; 2.25", E2:E149,"Iris-versicolor")</f>
        <v>3</v>
      </c>
      <c r="Z4" s="31">
        <f>COUNTIFS(B2:B149, "&lt; 2.25", E2:E149,"Iris-virginica")</f>
        <v>1</v>
      </c>
      <c r="AA4" s="34">
        <f t="shared" ref="AA4" si="4">(1-POWER(X4/SUM(X4,Y4,Z4),2)-POWER(Y4/SUM(X4,Y4,Z4),2)-POWER(Z4/SUM(X4,Y4,Z4),2))*SUM(X4,Y4,Z4)/120+(1-POWER(X5/SUM(X5,Y5,Z5),2)-POWER(Y5/SUM(X5,Y5,Z5),2)-POWER(Z5/SUM(X5,Y5,Z5),2))*SUM(X5,Y5,Z5)/120</f>
        <v>0.65660919540229878</v>
      </c>
      <c r="AC4">
        <v>1.2</v>
      </c>
      <c r="AD4">
        <f t="shared" si="2"/>
        <v>1.25</v>
      </c>
      <c r="AF4" s="31">
        <v>1.1499999999999999</v>
      </c>
      <c r="AG4" s="31" t="s">
        <v>9</v>
      </c>
      <c r="AH4" s="31">
        <f>COUNTIFS(C2:C149, "&lt; 1.15", E2:E149,"Iris-setosa")</f>
        <v>2</v>
      </c>
      <c r="AI4" s="31">
        <f>COUNTIFS(C2:C149, "&lt; 1.15", E2:E149,"Iris-versicolor")</f>
        <v>0</v>
      </c>
      <c r="AJ4" s="31">
        <f>COUNTIFS(C2:C149, "&lt; 1.15", E2:E149,"Iris-virginica")</f>
        <v>0</v>
      </c>
      <c r="AK4" s="34">
        <f t="shared" ref="AK4" si="5">(1-POWER(AH4/SUM(AH4,AI4,AJ4),2)-POWER(AI4/SUM(AH4,AI4,AJ4),2)-POWER(AJ4/SUM(AH4,AI4,AJ4),2))*SUM(AH4,AI4,AJ4)/120+(1-POWER(AH5/SUM(AH5,AI5,AJ5),2)-POWER(AI5/SUM(AH5,AI5,AJ5),2)-POWER(AJ5/SUM(AH5,AI5,AJ5),2))*SUM(AH5,AI5,AJ5)/120</f>
        <v>0.65536723163841815</v>
      </c>
      <c r="AM4">
        <v>0.3</v>
      </c>
      <c r="AN4">
        <f t="shared" si="3"/>
        <v>0.35</v>
      </c>
      <c r="AP4" s="31">
        <v>0.25</v>
      </c>
      <c r="AQ4" s="31" t="s">
        <v>9</v>
      </c>
      <c r="AR4" s="31">
        <f>COUNTIFS(C2:C149, "&lt; 0.25", E2:E149,"Iris-setosa")</f>
        <v>0</v>
      </c>
      <c r="AS4" s="31">
        <f>COUNTIFS(D2:D121, "&lt; 0.25", E2:E121,"Iris-versicolor")</f>
        <v>0</v>
      </c>
      <c r="AT4" s="31">
        <f>COUNTIFS(D2:D121, "&lt; 0.25", E2:E121,"Iris-virginica")</f>
        <v>0</v>
      </c>
      <c r="AU4" s="34">
        <f>(1-POWER(AR5/SUM(AR5,AS5,AT5),2)-POWER(AS5/SUM(AR5,AS5,AT5),2)-POWER(AT5/SUM(AR5,AS5,AT5),2))*SUM(AR5,AS5,AT5)/120</f>
        <v>0.66666666666666652</v>
      </c>
    </row>
    <row r="5" spans="1:47" x14ac:dyDescent="0.25">
      <c r="A5">
        <v>4.5999999999999996</v>
      </c>
      <c r="B5">
        <v>3.2</v>
      </c>
      <c r="C5">
        <v>1.3</v>
      </c>
      <c r="D5">
        <v>0.2</v>
      </c>
      <c r="E5" t="s">
        <v>5</v>
      </c>
      <c r="G5">
        <f t="shared" ref="G5:G33" si="6" xml:space="preserve"> G4+0.1</f>
        <v>4.5999999999999988</v>
      </c>
      <c r="J5">
        <f t="shared" si="0"/>
        <v>4.6499999999999986</v>
      </c>
      <c r="L5" s="31"/>
      <c r="M5" s="31" t="s">
        <v>10</v>
      </c>
      <c r="N5" s="31">
        <f>COUNTIFS(A2:A121, "&gt;=4.45", E2:E121,"Iris-setosa")</f>
        <v>38</v>
      </c>
      <c r="O5" s="31">
        <f>COUNTIFS(A2:A149, "&gt;=4.45", E2:E149,"Iris-versicolor")</f>
        <v>40</v>
      </c>
      <c r="P5" s="31">
        <f>COUNTIFS(A2:A149, "&gt;=4.45", E2:E149,"Iris-virginica")</f>
        <v>40</v>
      </c>
      <c r="Q5" s="34"/>
      <c r="S5">
        <f t="shared" ref="S5:S23" si="7">S4+0.1</f>
        <v>2.4000000000000004</v>
      </c>
      <c r="T5">
        <f t="shared" si="1"/>
        <v>2.4500000000000002</v>
      </c>
      <c r="V5" s="31"/>
      <c r="W5" s="31" t="s">
        <v>10</v>
      </c>
      <c r="X5" s="31">
        <f>COUNTIFS(B2:B121, "&gt;= 2.25", E2:E121,"Iris-setosa")</f>
        <v>40</v>
      </c>
      <c r="Y5" s="31">
        <f>40-Y4</f>
        <v>37</v>
      </c>
      <c r="Z5" s="31">
        <v>39</v>
      </c>
      <c r="AA5" s="34"/>
      <c r="AC5">
        <v>1.3</v>
      </c>
      <c r="AD5">
        <f t="shared" si="2"/>
        <v>1.35</v>
      </c>
      <c r="AF5" s="31"/>
      <c r="AG5" s="31" t="s">
        <v>10</v>
      </c>
      <c r="AH5" s="31">
        <v>38</v>
      </c>
      <c r="AI5" s="31">
        <v>40</v>
      </c>
      <c r="AJ5" s="31">
        <v>40</v>
      </c>
      <c r="AK5" s="34"/>
      <c r="AM5">
        <v>0.4</v>
      </c>
      <c r="AN5">
        <f t="shared" si="3"/>
        <v>0.45</v>
      </c>
      <c r="AP5" s="31"/>
      <c r="AQ5" s="31" t="s">
        <v>10</v>
      </c>
      <c r="AR5" s="31">
        <v>40</v>
      </c>
      <c r="AS5" s="31">
        <v>40</v>
      </c>
      <c r="AT5" s="31">
        <v>40</v>
      </c>
      <c r="AU5" s="34"/>
    </row>
    <row r="6" spans="1:47" x14ac:dyDescent="0.25">
      <c r="A6">
        <v>5</v>
      </c>
      <c r="B6">
        <v>2.2999999999999998</v>
      </c>
      <c r="C6">
        <v>1.3</v>
      </c>
      <c r="D6">
        <v>0.3</v>
      </c>
      <c r="E6" t="s">
        <v>5</v>
      </c>
      <c r="G6">
        <f t="shared" si="6"/>
        <v>4.6999999999999984</v>
      </c>
      <c r="J6">
        <f t="shared" si="0"/>
        <v>4.7499999999999982</v>
      </c>
      <c r="L6" s="31">
        <v>4.55</v>
      </c>
      <c r="M6" s="31" t="s">
        <v>9</v>
      </c>
      <c r="N6" s="31">
        <f>COUNTIFS(A2:A149, "&lt;4.55", E2:E149,"Iris-setosa")</f>
        <v>3</v>
      </c>
      <c r="O6" s="31">
        <f>COUNTIFS(A2:A149, "&lt;4.55", E2:E149,"Iris-versicolor")</f>
        <v>0</v>
      </c>
      <c r="P6" s="31">
        <f>COUNTIFS(A2:A149, "&lt;4.55", E2:E149,"Iris-virginica")</f>
        <v>0</v>
      </c>
      <c r="Q6" s="34">
        <f t="shared" ref="Q6" si="8">(1-POWER(N6/SUM(N6,O6,P6),2)-POWER(O6/SUM(N6,O6,P6),2)-POWER(P6/SUM(N6,O6,P6),2))*SUM(N6,O6,P6)/120+(1-POWER(N7/SUM(N7,O7,P7),2)-POWER(O7/SUM(N7,O7,P7),2)-POWER(P7/SUM(N7,O7,P7),2))*SUM(N7,O7,P7)/120</f>
        <v>0.64957264957264949</v>
      </c>
      <c r="S6">
        <f t="shared" si="7"/>
        <v>2.5000000000000004</v>
      </c>
      <c r="T6">
        <f t="shared" si="1"/>
        <v>2.5500000000000007</v>
      </c>
      <c r="V6" s="31">
        <v>2.35</v>
      </c>
      <c r="W6" s="31" t="s">
        <v>9</v>
      </c>
      <c r="X6" s="31">
        <f>COUNTIFS(B2:B121, "&lt; 2.35", E2:E121,"Iris-setosa")</f>
        <v>1</v>
      </c>
      <c r="Y6" s="31">
        <f>COUNTIFS(B2:B149, "&lt; 2.35", E2:E149,"Iris-versicolor")</f>
        <v>5</v>
      </c>
      <c r="Z6" s="31">
        <f>COUNTIFS(B2:B149, "&lt; 2.35", E2:E149,"Iris-virginica")</f>
        <v>1</v>
      </c>
      <c r="AA6" s="34">
        <f t="shared" ref="AA6" si="9">(1-POWER(X6/SUM(X6,Y6,Z6),2)-POWER(Y6/SUM(X6,Y6,Z6),2)-POWER(Z6/SUM(X6,Y6,Z6),2))*SUM(X6,Y6,Z6)/120+(1-POWER(X7/SUM(X7,Y7,Z7),2)-POWER(Y7/SUM(X7,Y7,Z7),2)-POWER(Z7/SUM(X7,Y7,Z7),2))*SUM(X7,Y7,Z7)/120</f>
        <v>0.6531816266329542</v>
      </c>
      <c r="AC6">
        <v>1.4</v>
      </c>
      <c r="AD6">
        <f t="shared" si="2"/>
        <v>1.45</v>
      </c>
      <c r="AF6" s="31">
        <v>1.25</v>
      </c>
      <c r="AG6" s="31" t="s">
        <v>9</v>
      </c>
      <c r="AH6" s="31">
        <f>COUNTIFS(C2:C149, "&lt; 1.25", E2:E149,"Iris-setosa")</f>
        <v>4</v>
      </c>
      <c r="AI6" s="31">
        <f>COUNTIFS(C2:C149, "&lt; 1.25", E2:E149,"Iris-versicolor")</f>
        <v>0</v>
      </c>
      <c r="AJ6" s="31">
        <f>COUNTIFS(C2:C149, "&lt; 1.25", E2:E149,"Iris-virginica")</f>
        <v>0</v>
      </c>
      <c r="AK6" s="34">
        <f t="shared" ref="AK6" si="10">(1-POWER(AH6/SUM(AH6,AI6,AJ6),2)-POWER(AI6/SUM(AH6,AI6,AJ6),2)-POWER(AJ6/SUM(AH6,AI6,AJ6),2))*SUM(AH6,AI6,AJ6)/120+(1-POWER(AH7/SUM(AH7,AI7,AJ7),2)-POWER(AI7/SUM(AH7,AI7,AJ7),2)-POWER(AJ7/SUM(AH7,AI7,AJ7),2))*SUM(AH7,AI7,AJ7)/120</f>
        <v>0.64367816091954011</v>
      </c>
      <c r="AM6">
        <v>0.5</v>
      </c>
      <c r="AN6">
        <f t="shared" si="3"/>
        <v>0.55000000000000004</v>
      </c>
      <c r="AP6" s="31">
        <v>0.35</v>
      </c>
      <c r="AQ6" s="31" t="s">
        <v>9</v>
      </c>
      <c r="AR6" s="31">
        <f>COUNTIFS(D2:D121, "&lt; 0.35", E2:E121,"Iris-setosa")</f>
        <v>31</v>
      </c>
      <c r="AS6" s="31">
        <f>COUNTIFS(D2:D121, "&lt; 0.35", E2:E121,"Iris-versicolor")</f>
        <v>0</v>
      </c>
      <c r="AT6" s="31">
        <f>COUNTIFS(D2:D121, "&lt; 0.35", E2:E121,"Iris-virginica")</f>
        <v>0</v>
      </c>
      <c r="AU6" s="34">
        <f t="shared" ref="AU6" si="11">(1-POWER(AR6/SUM(AR6,AS6,AT6),2)-POWER(AS6/SUM(AR6,AS6,AT6),2)-POWER(AT6/SUM(AR6,AS6,AT6),2))*SUM(AR6,AS6,AT6)/120+(1-POWER(AR7/SUM(AR7,AS7,AT7),2)-POWER(AS7/SUM(AR7,AS7,AT7),2)-POWER(AT7/SUM(AR7,AS7,AT7),2))*SUM(AR7,AS7,AT7)/120</f>
        <v>0.43445692883895132</v>
      </c>
    </row>
    <row r="7" spans="1:47" x14ac:dyDescent="0.25">
      <c r="A7" s="5">
        <v>5.4</v>
      </c>
      <c r="B7" s="5">
        <v>3.1</v>
      </c>
      <c r="C7" s="5">
        <v>1.5</v>
      </c>
      <c r="D7" s="5">
        <v>0.2</v>
      </c>
      <c r="E7" s="5" t="s">
        <v>5</v>
      </c>
      <c r="G7">
        <f t="shared" si="6"/>
        <v>4.799999999999998</v>
      </c>
      <c r="J7">
        <f t="shared" si="0"/>
        <v>4.8499999999999979</v>
      </c>
      <c r="L7" s="31"/>
      <c r="M7" s="31" t="s">
        <v>10</v>
      </c>
      <c r="N7" s="31">
        <f>COUNTIFS(A2:A149, "&gt;=4.55", E2:E149,"Iris-setosa")</f>
        <v>37</v>
      </c>
      <c r="O7" s="31">
        <f>COUNTIFS(A2:A149, "&gt;=4.55", E2:E149,"Iris-versicolor")</f>
        <v>40</v>
      </c>
      <c r="P7" s="31">
        <f>COUNTIFS(A2:A149, "&gt;=4.55", E2:E149,"Iris-virginica")</f>
        <v>40</v>
      </c>
      <c r="Q7" s="34"/>
      <c r="S7">
        <f t="shared" si="7"/>
        <v>2.6000000000000005</v>
      </c>
      <c r="T7">
        <f t="shared" si="1"/>
        <v>2.6500000000000004</v>
      </c>
      <c r="V7" s="31"/>
      <c r="W7" s="31" t="s">
        <v>10</v>
      </c>
      <c r="X7" s="31">
        <f>COUNTIFS(B2:B121, "&gt;= 2.35", E2:E121,"Iris-setosa")</f>
        <v>39</v>
      </c>
      <c r="Y7" s="31">
        <f>40-Y6</f>
        <v>35</v>
      </c>
      <c r="Z7" s="31">
        <v>39</v>
      </c>
      <c r="AA7" s="34"/>
      <c r="AC7">
        <v>1.5</v>
      </c>
      <c r="AD7">
        <f t="shared" si="2"/>
        <v>1.55</v>
      </c>
      <c r="AF7" s="31"/>
      <c r="AG7" s="31" t="s">
        <v>10</v>
      </c>
      <c r="AH7" s="31">
        <v>36</v>
      </c>
      <c r="AI7" s="31">
        <v>40</v>
      </c>
      <c r="AJ7" s="31">
        <v>40</v>
      </c>
      <c r="AK7" s="34"/>
      <c r="AM7">
        <v>0.6</v>
      </c>
      <c r="AN7">
        <f t="shared" si="3"/>
        <v>0.8</v>
      </c>
      <c r="AP7" s="31"/>
      <c r="AQ7" s="31" t="s">
        <v>10</v>
      </c>
      <c r="AR7" s="31">
        <v>9</v>
      </c>
      <c r="AS7" s="31">
        <v>40</v>
      </c>
      <c r="AT7" s="31">
        <v>40</v>
      </c>
      <c r="AU7" s="34"/>
    </row>
    <row r="8" spans="1:47" x14ac:dyDescent="0.25">
      <c r="A8">
        <v>4.5999999999999996</v>
      </c>
      <c r="B8">
        <v>3.4</v>
      </c>
      <c r="C8">
        <v>1.4</v>
      </c>
      <c r="D8">
        <v>0.3</v>
      </c>
      <c r="E8" t="s">
        <v>5</v>
      </c>
      <c r="G8">
        <f t="shared" si="6"/>
        <v>4.8999999999999977</v>
      </c>
      <c r="J8">
        <f t="shared" si="0"/>
        <v>4.9499999999999975</v>
      </c>
      <c r="L8" s="31">
        <v>4.6500000000000004</v>
      </c>
      <c r="M8" s="31" t="s">
        <v>9</v>
      </c>
      <c r="N8" s="31">
        <f>COUNTIFS(A2:A149, "&lt;4.65", E2:E149,"Iris-setosa")</f>
        <v>7</v>
      </c>
      <c r="O8" s="31">
        <f>COUNTIFS(A2:A149, "&lt;4.65", E2:E149,"Iris-versicolor")</f>
        <v>0</v>
      </c>
      <c r="P8" s="31">
        <f>COUNTIFS(A2:A149, "&lt;4.65", E2:E149,"Iris-virginica")</f>
        <v>0</v>
      </c>
      <c r="Q8" s="34">
        <f t="shared" ref="Q8" si="12">(1-POWER(N8/SUM(N8,O8,P8),2)-POWER(O8/SUM(N8,O8,P8),2)-POWER(P8/SUM(N8,O8,P8),2))*SUM(N8,O8,P8)/120+(1-POWER(N9/SUM(N9,O9,P9),2)-POWER(O9/SUM(N9,O9,P9),2)-POWER(P9/SUM(N9,O9,P9),2))*SUM(N9,O9,P9)/120</f>
        <v>0.62536873156342165</v>
      </c>
      <c r="S8">
        <f t="shared" si="7"/>
        <v>2.7000000000000006</v>
      </c>
      <c r="T8">
        <f t="shared" si="1"/>
        <v>2.7500000000000009</v>
      </c>
      <c r="V8" s="31">
        <v>2.4500000000000002</v>
      </c>
      <c r="W8" s="31" t="s">
        <v>9</v>
      </c>
      <c r="X8" s="31">
        <f>COUNTIFS(B2:B121, "&lt; 2.45", E2:E121,"Iris-setosa")</f>
        <v>1</v>
      </c>
      <c r="Y8" s="31">
        <f>COUNTIFS(B2:B149, "&lt; 2.45", E2:E149,"Iris-versicolor")</f>
        <v>6</v>
      </c>
      <c r="Z8" s="31">
        <f>COUNTIFS(B2:B149, "&lt; 2.45", E2:E149,"Iris-virginica")</f>
        <v>1</v>
      </c>
      <c r="AA8" s="34">
        <f t="shared" ref="AA8" si="13">(1-POWER(X8/SUM(X8,Y8,Z8),2)-POWER(Y8/SUM(X8,Y8,Z8),2)-POWER(Z8/SUM(X8,Y8,Z8),2))*SUM(X8,Y8,Z8)/120+(1-POWER(X9/SUM(X9,Y9,Z9),2)-POWER(Y9/SUM(X9,Y9,Z9),2)-POWER(Z9/SUM(X9,Y9,Z9),2))*SUM(X9,Y9,Z9)/120</f>
        <v>0.64806547619047628</v>
      </c>
      <c r="AC8">
        <v>1.6</v>
      </c>
      <c r="AD8">
        <f t="shared" si="2"/>
        <v>1.65</v>
      </c>
      <c r="AF8" s="31">
        <v>1.35</v>
      </c>
      <c r="AG8" s="31" t="s">
        <v>9</v>
      </c>
      <c r="AH8" s="31">
        <f>COUNTIFS(C2:C149, "&lt; 1.35", E2:E149,"Iris-setosa")</f>
        <v>10</v>
      </c>
      <c r="AI8" s="31">
        <f>COUNTIFS(C2:C149, "&lt; 1.35", E2:E149,"Iris-versicolor")</f>
        <v>0</v>
      </c>
      <c r="AJ8" s="31">
        <f>COUNTIFS(C2:C149, "&lt; 1.35", E2:E149,"Iris-virginica")</f>
        <v>0</v>
      </c>
      <c r="AK8" s="34">
        <f t="shared" ref="AK8" si="14">(1-POWER(AH8/SUM(AH8,AI8,AJ8),2)-POWER(AI8/SUM(AH8,AI8,AJ8),2)-POWER(AJ8/SUM(AH8,AI8,AJ8),2))*SUM(AH8,AI8,AJ8)/120+(1-POWER(AH9/SUM(AH9,AI9,AJ9),2)-POWER(AI9/SUM(AH9,AI9,AJ9),2)-POWER(AJ9/SUM(AH9,AI9,AJ9),2))*SUM(AH9,AI9,AJ9)/120</f>
        <v>0.60606060606060608</v>
      </c>
      <c r="AM8">
        <v>1</v>
      </c>
      <c r="AN8">
        <f t="shared" si="3"/>
        <v>1.05</v>
      </c>
      <c r="AP8" s="31">
        <v>0.45</v>
      </c>
      <c r="AQ8" s="31" t="s">
        <v>9</v>
      </c>
      <c r="AR8" s="31">
        <f>COUNTIFS(D2:D121, "&lt; 0.45", E2:E121,"Iris-setosa")</f>
        <v>38</v>
      </c>
      <c r="AS8" s="31">
        <f>COUNTIFS(D2:D121, "&lt; 0.45", E2:E121,"Iris-versicolor")</f>
        <v>0</v>
      </c>
      <c r="AT8" s="31">
        <f>COUNTIFS(D2:D121, "&lt; 0.45", E2:E121,"Iris-virginica")</f>
        <v>0</v>
      </c>
      <c r="AU8" s="34">
        <f t="shared" ref="AU8" si="15">(1-POWER(AR8/SUM(AR8,AS8,AT8),2)-POWER(AS8/SUM(AR8,AS8,AT8),2)-POWER(AT8/SUM(AR8,AS8,AT8),2))*SUM(AR8,AS8,AT8)/120+(1-POWER(AR9/SUM(AR9,AS9,AT9),2)-POWER(AS9/SUM(AR9,AS9,AT9),2)-POWER(AT9/SUM(AR9,AS9,AT9),2))*SUM(AR9,AS9,AT9)/120</f>
        <v>0.35772357723577242</v>
      </c>
    </row>
    <row r="9" spans="1:47" x14ac:dyDescent="0.25">
      <c r="A9">
        <v>5</v>
      </c>
      <c r="B9">
        <v>3.6</v>
      </c>
      <c r="C9">
        <v>1</v>
      </c>
      <c r="D9">
        <v>0.2</v>
      </c>
      <c r="E9" t="s">
        <v>5</v>
      </c>
      <c r="G9">
        <f t="shared" si="6"/>
        <v>4.9999999999999973</v>
      </c>
      <c r="J9">
        <f t="shared" si="0"/>
        <v>5.0499999999999972</v>
      </c>
      <c r="L9" s="31"/>
      <c r="M9" s="31" t="s">
        <v>10</v>
      </c>
      <c r="N9" s="31">
        <f>COUNTIFS(A2:A149, "&gt;=4.65", E2:E149,"Iris-setosa")</f>
        <v>33</v>
      </c>
      <c r="O9" s="31">
        <f>COUNTIFS(A2:A149, "&gt;=4.65", E2:E149,"Iris-versicolor")</f>
        <v>40</v>
      </c>
      <c r="P9" s="31">
        <f>COUNTIFS(A2:A149, "&gt;=4.65", E2:E149,"Iris-virginica")</f>
        <v>40</v>
      </c>
      <c r="Q9" s="34"/>
      <c r="S9">
        <f t="shared" si="7"/>
        <v>2.8000000000000007</v>
      </c>
      <c r="T9">
        <f t="shared" si="1"/>
        <v>2.8500000000000005</v>
      </c>
      <c r="V9" s="31"/>
      <c r="W9" s="31" t="s">
        <v>10</v>
      </c>
      <c r="X9" s="31">
        <f>COUNTIFS(B2:B121, "&gt;=2.45", E2:E121,"Iris-setosa")</f>
        <v>39</v>
      </c>
      <c r="Y9" s="31">
        <f>40-Y8</f>
        <v>34</v>
      </c>
      <c r="Z9" s="31">
        <v>39</v>
      </c>
      <c r="AA9" s="34"/>
      <c r="AC9">
        <v>1.7</v>
      </c>
      <c r="AD9">
        <f t="shared" si="2"/>
        <v>1.7999999999999998</v>
      </c>
      <c r="AF9" s="31"/>
      <c r="AG9" s="31" t="s">
        <v>10</v>
      </c>
      <c r="AH9" s="31">
        <v>30</v>
      </c>
      <c r="AI9" s="31">
        <v>40</v>
      </c>
      <c r="AJ9" s="31">
        <v>40</v>
      </c>
      <c r="AK9" s="34"/>
      <c r="AM9">
        <f>AM8+0.1</f>
        <v>1.1000000000000001</v>
      </c>
      <c r="AN9">
        <f t="shared" si="3"/>
        <v>1.1500000000000001</v>
      </c>
      <c r="AP9" s="31"/>
      <c r="AQ9" s="31" t="s">
        <v>10</v>
      </c>
      <c r="AR9" s="31">
        <v>2</v>
      </c>
      <c r="AS9" s="31">
        <v>40</v>
      </c>
      <c r="AT9" s="31">
        <v>40</v>
      </c>
      <c r="AU9" s="34"/>
    </row>
    <row r="10" spans="1:47" x14ac:dyDescent="0.25">
      <c r="A10" s="5">
        <v>5.7</v>
      </c>
      <c r="B10" s="5">
        <v>3.1</v>
      </c>
      <c r="C10" s="5">
        <v>1.5</v>
      </c>
      <c r="D10" s="5">
        <v>0.1</v>
      </c>
      <c r="E10" s="5" t="s">
        <v>5</v>
      </c>
      <c r="G10">
        <f t="shared" si="6"/>
        <v>5.099999999999997</v>
      </c>
      <c r="J10">
        <f t="shared" si="0"/>
        <v>5.1499999999999968</v>
      </c>
      <c r="L10" s="31">
        <v>4.75</v>
      </c>
      <c r="M10" s="31" t="s">
        <v>9</v>
      </c>
      <c r="N10" s="31">
        <f>COUNTIFS(A2:A149, "&lt;4.75", E2:E149,"Iris-setosa")</f>
        <v>9</v>
      </c>
      <c r="O10" s="31">
        <f>COUNTIFS(A2:A149, "&lt;4.75", E2:E149,"Iris-versicolor")</f>
        <v>0</v>
      </c>
      <c r="P10" s="31">
        <f>COUNTIFS(A2:A149, "&lt;4.75", E2:E149,"Iris-virginica")</f>
        <v>0</v>
      </c>
      <c r="Q10" s="34">
        <f t="shared" ref="Q10" si="16">(1-POWER(N10/SUM(N10,O10,P10),2)-POWER(O10/SUM(N10,O10,P10),2)-POWER(P10/SUM(N10,O10,P10),2))*SUM(N10,O10,P10)/120+(1-POWER(N11/SUM(N11,O11,P11),2)-POWER(O11/SUM(N11,O11,P11),2)-POWER(P11/SUM(N11,O11,P11),2))*SUM(N11,O11,P11)/120</f>
        <v>0.61261261261261279</v>
      </c>
      <c r="S10">
        <f t="shared" si="7"/>
        <v>2.9000000000000008</v>
      </c>
      <c r="T10">
        <f t="shared" si="1"/>
        <v>2.9500000000000011</v>
      </c>
      <c r="V10" s="31">
        <v>2.5499999999999998</v>
      </c>
      <c r="W10" s="31" t="s">
        <v>9</v>
      </c>
      <c r="X10" s="31">
        <f>COUNTIFS(B2:B121, "&lt; 2.55", E2:E121,"Iris-setosa")</f>
        <v>1</v>
      </c>
      <c r="Y10" s="31">
        <f>COUNTIFS(B2:B149, "&lt; 2.55", E2:E149,"Iris-versicolor")</f>
        <v>8</v>
      </c>
      <c r="Z10" s="31">
        <f>COUNTIFS(B2:B149, "&lt; 2.55", E2:E149,"Iris-virginica")</f>
        <v>5</v>
      </c>
      <c r="AA10" s="34">
        <f t="shared" ref="AA10" si="17">(1-POWER(X10/SUM(X10,Y10,Z10),2)-POWER(Y10/SUM(X10,Y10,Z10),2)-POWER(Z10/SUM(X10,Y10,Z10),2))*SUM(X10,Y10,Z10)/120+(1-POWER(X11/SUM(X11,Y11,Z11),2)-POWER(Y11/SUM(X11,Y11,Z11),2)-POWER(Z11/SUM(X11,Y11,Z11),2))*SUM(X11,Y11,Z11)/120</f>
        <v>0.65004492362982935</v>
      </c>
      <c r="AC10">
        <v>1.9</v>
      </c>
      <c r="AD10">
        <f t="shared" si="2"/>
        <v>2.4500000000000002</v>
      </c>
      <c r="AF10" s="31">
        <v>1.45</v>
      </c>
      <c r="AG10" s="31" t="s">
        <v>9</v>
      </c>
      <c r="AH10" s="31">
        <f>COUNTIFS(C2:C149, "&lt; 1.45", E2:E149,"Iris-setosa")</f>
        <v>18</v>
      </c>
      <c r="AI10" s="31">
        <f>COUNTIFS(C2:C149, "&lt; 1.45", E2:E149,"Iris-versicolor")</f>
        <v>0</v>
      </c>
      <c r="AJ10" s="31">
        <f>COUNTIFS(C2:C149, "&lt; 1.45", E2:E149,"Iris-virginica")</f>
        <v>0</v>
      </c>
      <c r="AK10" s="34">
        <f t="shared" ref="AK10" si="18">(1-POWER(AH10/SUM(AH10,AI10,AJ10),2)-POWER(AI10/SUM(AH10,AI10,AJ10),2)-POWER(AJ10/SUM(AH10,AI10,AJ10),2))*SUM(AH10,AI10,AJ10)/120+(1-POWER(AH11/SUM(AH11,AI11,AJ11),2)-POWER(AI11/SUM(AH11,AI11,AJ11),2)-POWER(AJ11/SUM(AH11,AI11,AJ11),2))*SUM(AH11,AI11,AJ11)/120</f>
        <v>0.5490196078431373</v>
      </c>
      <c r="AM10">
        <f t="shared" ref="AM10:AM23" si="19">AM9+0.1</f>
        <v>1.2000000000000002</v>
      </c>
      <c r="AN10">
        <f t="shared" si="3"/>
        <v>1.2500000000000002</v>
      </c>
      <c r="AP10" s="31">
        <v>0.55000000000000004</v>
      </c>
      <c r="AQ10" s="31" t="s">
        <v>9</v>
      </c>
      <c r="AR10" s="31">
        <f>COUNTIFS(D2:D121, "&lt; 0.55", E2:E121,"Iris-setosa")</f>
        <v>39</v>
      </c>
      <c r="AS10" s="31">
        <f>COUNTIFS(D2:D121, "&lt; 0.55", E2:E121,"Iris-versicolor")</f>
        <v>0</v>
      </c>
      <c r="AT10" s="31">
        <f>COUNTIFS(D2:D121, "&lt; 0.55", E2:E121,"Iris-virginica")</f>
        <v>0</v>
      </c>
      <c r="AU10" s="34">
        <f t="shared" ref="AU10" si="20">(1-POWER(AR10/SUM(AR10,AS10,AT10),2)-POWER(AS10/SUM(AR10,AS10,AT10),2)-POWER(AT10/SUM(AR10,AS10,AT10),2))*SUM(AR10,AS10,AT10)/120+(1-POWER(AR11/SUM(AR11,AS11,AT11),2)-POWER(AS11/SUM(AR11,AS11,AT11),2)-POWER(AT11/SUM(AR11,AS11,AT11),2))*SUM(AR11,AS11,AT11)/120</f>
        <v>0.34567901234567899</v>
      </c>
    </row>
    <row r="11" spans="1:47" x14ac:dyDescent="0.25">
      <c r="A11">
        <v>5.0999999999999996</v>
      </c>
      <c r="B11">
        <v>3.1</v>
      </c>
      <c r="C11">
        <v>1.5</v>
      </c>
      <c r="D11">
        <v>0.1</v>
      </c>
      <c r="E11" t="s">
        <v>5</v>
      </c>
      <c r="G11">
        <f t="shared" si="6"/>
        <v>5.1999999999999966</v>
      </c>
      <c r="J11">
        <f t="shared" si="0"/>
        <v>5.2499999999999964</v>
      </c>
      <c r="L11" s="31"/>
      <c r="M11" s="31" t="s">
        <v>10</v>
      </c>
      <c r="N11" s="31">
        <f>COUNTIFS(A2:A149, "&gt;=4.75", E2:E149,"Iris-setosa")</f>
        <v>31</v>
      </c>
      <c r="O11" s="31">
        <f>COUNTIFS(A2:A149, "&gt;=4.75", E2:E149,"Iris-versicolor")</f>
        <v>40</v>
      </c>
      <c r="P11" s="31">
        <f>COUNTIFS(A2:A149, "&gt;=4.75", E2:E149,"Iris-virginica")</f>
        <v>40</v>
      </c>
      <c r="Q11" s="34"/>
      <c r="S11">
        <f t="shared" si="7"/>
        <v>3.0000000000000009</v>
      </c>
      <c r="T11">
        <f t="shared" si="1"/>
        <v>3.0500000000000007</v>
      </c>
      <c r="V11" s="31"/>
      <c r="W11" s="31" t="s">
        <v>10</v>
      </c>
      <c r="X11" s="31">
        <f>COUNTIFS(B2:B121, "&gt;= 2.55", E2:E121,"Iris-setosa")</f>
        <v>39</v>
      </c>
      <c r="Y11" s="31">
        <f>40-Y10</f>
        <v>32</v>
      </c>
      <c r="Z11" s="31">
        <v>35</v>
      </c>
      <c r="AA11" s="34"/>
      <c r="AC11">
        <v>3</v>
      </c>
      <c r="AD11">
        <f t="shared" si="2"/>
        <v>3.15</v>
      </c>
      <c r="AF11" s="31"/>
      <c r="AG11" s="31" t="s">
        <v>10</v>
      </c>
      <c r="AH11" s="31">
        <v>22</v>
      </c>
      <c r="AI11" s="31">
        <v>40</v>
      </c>
      <c r="AJ11" s="31">
        <v>40</v>
      </c>
      <c r="AK11" s="34"/>
      <c r="AM11">
        <f t="shared" si="19"/>
        <v>1.3000000000000003</v>
      </c>
      <c r="AN11">
        <f t="shared" si="3"/>
        <v>1.3500000000000003</v>
      </c>
      <c r="AP11" s="31"/>
      <c r="AQ11" s="31" t="s">
        <v>10</v>
      </c>
      <c r="AR11" s="31">
        <v>1</v>
      </c>
      <c r="AS11" s="31">
        <v>40</v>
      </c>
      <c r="AT11" s="31">
        <v>40</v>
      </c>
      <c r="AU11" s="34"/>
    </row>
    <row r="12" spans="1:47" x14ac:dyDescent="0.25">
      <c r="A12">
        <v>5.4</v>
      </c>
      <c r="B12">
        <v>2.4</v>
      </c>
      <c r="C12">
        <v>3.3</v>
      </c>
      <c r="D12">
        <v>1</v>
      </c>
      <c r="E12" t="s">
        <v>6</v>
      </c>
      <c r="G12">
        <f t="shared" si="6"/>
        <v>5.2999999999999963</v>
      </c>
      <c r="J12">
        <f t="shared" si="0"/>
        <v>5.3499999999999961</v>
      </c>
      <c r="L12" s="31">
        <v>4.8499999999999996</v>
      </c>
      <c r="M12" s="31" t="s">
        <v>9</v>
      </c>
      <c r="N12" s="31">
        <f>COUNTIFS(A2:A149, "&lt;4.85", E2:E149,"Iris-setosa")</f>
        <v>11</v>
      </c>
      <c r="O12" s="31">
        <f>COUNTIFS(A2:A149, "&lt;4.85", E2:E149,"Iris-versicolor")</f>
        <v>1</v>
      </c>
      <c r="P12" s="31">
        <f>COUNTIFS(A2:A149, "&lt;4.85", E2:E149,"Iris-virginica")</f>
        <v>0</v>
      </c>
      <c r="Q12" s="34">
        <f t="shared" ref="Q12" si="21">(1-POWER(N12/SUM(N12,O12,P12),2)-POWER(O12/SUM(N12,O12,P12),2)-POWER(P12/SUM(N12,O12,P12),2))*SUM(N12,O12,P12)/120+(1-POWER(N13/SUM(N13,O13,P13),2)-POWER(O13/SUM(N13,O13,P13),2)-POWER(P13/SUM(N13,O13,P13),2))*SUM(N13,O13,P13)/120</f>
        <v>0.60956790123456794</v>
      </c>
      <c r="S12">
        <f t="shared" si="7"/>
        <v>3.100000000000001</v>
      </c>
      <c r="T12">
        <f t="shared" si="1"/>
        <v>3.1500000000000012</v>
      </c>
      <c r="V12" s="31">
        <v>2.65</v>
      </c>
      <c r="W12" s="31" t="s">
        <v>9</v>
      </c>
      <c r="X12" s="31">
        <f>COUNTIFS(B2:B121, "&lt; 2.65", E2:E121,"Iris-setosa")</f>
        <v>1</v>
      </c>
      <c r="Y12" s="31">
        <f>COUNTIFS(B2:B149, "&lt; 2.65", E2:E149,"Iris-versicolor")</f>
        <v>10</v>
      </c>
      <c r="Z12" s="31">
        <f>COUNTIFS(B2:B149, "&lt; 2.65", E2:E149,"Iris-virginica")</f>
        <v>6</v>
      </c>
      <c r="AA12" s="34">
        <f t="shared" ref="AA12" si="22">(1-POWER(X12/SUM(X12,Y12,Z12),2)-POWER(Y12/SUM(X12,Y12,Z12),2)-POWER(Z12/SUM(X12,Y12,Z12),2))*SUM(X12,Y12,Z12)/120+(1-POWER(X13/SUM(X13,Y13,Z13),2)-POWER(Y13/SUM(X13,Y13,Z13),2)-POWER(Z13/SUM(X13,Y13,Z13),2))*SUM(X13,Y13,Z13)/120</f>
        <v>0.64344184275652005</v>
      </c>
      <c r="AC12">
        <v>3.3</v>
      </c>
      <c r="AD12">
        <f t="shared" si="2"/>
        <v>3.4</v>
      </c>
      <c r="AF12" s="31">
        <v>1.55</v>
      </c>
      <c r="AG12" s="31" t="s">
        <v>9</v>
      </c>
      <c r="AH12" s="31">
        <f>COUNTIFS(C2:C149, "&lt; 1.55", E2:E149,"Iris-setosa")</f>
        <v>31</v>
      </c>
      <c r="AI12" s="31">
        <f>COUNTIFS(C2:C149, "&lt; 1.55", E2:E149,"Iris-versicolor")</f>
        <v>0</v>
      </c>
      <c r="AJ12" s="31">
        <f>COUNTIFS(C2:C149, "&lt; 1.55", E2:E149,"Iris-virginica")</f>
        <v>0</v>
      </c>
      <c r="AK12" s="34">
        <f t="shared" ref="AK12" si="23">(1-POWER(AH12/SUM(AH12,AI12,AJ12),2)-POWER(AI12/SUM(AH12,AI12,AJ12),2)-POWER(AJ12/SUM(AH12,AI12,AJ12),2))*SUM(AH12,AI12,AJ12)/120+(1-POWER(AH13/SUM(AH13,AI13,AJ13),2)-POWER(AI13/SUM(AH13,AI13,AJ13),2)-POWER(AJ13/SUM(AH13,AI13,AJ13),2))*SUM(AH13,AI13,AJ13)/120</f>
        <v>0.43445692883895132</v>
      </c>
      <c r="AM12">
        <f t="shared" si="19"/>
        <v>1.4000000000000004</v>
      </c>
      <c r="AN12">
        <f t="shared" si="3"/>
        <v>1.4500000000000004</v>
      </c>
      <c r="AP12" s="37">
        <v>0.8</v>
      </c>
      <c r="AQ12" s="37" t="s">
        <v>9</v>
      </c>
      <c r="AR12" s="37">
        <f>COUNTIFS(D2:D121, "&lt; 0.8", E2:E121,"Iris-setosa")</f>
        <v>40</v>
      </c>
      <c r="AS12" s="37">
        <f>COUNTIFS(D2:D121, "&lt; 0.8", E2:E121,"Iris-versicolor")</f>
        <v>0</v>
      </c>
      <c r="AT12" s="37">
        <f>COUNTIFS(D2:D121, "&lt; 0.8", E2:E121,"Iris-virginica")</f>
        <v>0</v>
      </c>
      <c r="AU12" s="38">
        <f t="shared" ref="AU12" si="24">(1-POWER(AR12/SUM(AR12,AS12,AT12),2)-POWER(AS12/SUM(AR12,AS12,AT12),2)-POWER(AT12/SUM(AR12,AS12,AT12),2))*SUM(AR12,AS12,AT12)/120+(1-POWER(AR13/SUM(AR13,AS13,AT13),2)-POWER(AS13/SUM(AR13,AS13,AT13),2)-POWER(AT13/SUM(AR13,AS13,AT13),2))*SUM(AR13,AS13,AT13)/120</f>
        <v>0.33333333333333331</v>
      </c>
    </row>
    <row r="13" spans="1:47" x14ac:dyDescent="0.25">
      <c r="A13" s="5">
        <v>5.0999999999999996</v>
      </c>
      <c r="B13" s="5">
        <v>2.5</v>
      </c>
      <c r="C13" s="5">
        <v>4.5</v>
      </c>
      <c r="D13" s="5">
        <v>1.7</v>
      </c>
      <c r="E13" s="5" t="s">
        <v>7</v>
      </c>
      <c r="G13">
        <f t="shared" si="6"/>
        <v>5.3999999999999959</v>
      </c>
      <c r="J13">
        <f t="shared" si="0"/>
        <v>5.4499999999999957</v>
      </c>
      <c r="L13" s="31"/>
      <c r="M13" s="31" t="s">
        <v>10</v>
      </c>
      <c r="N13" s="31">
        <f>COUNTIFS(A2:A149, "&gt;=4.85", E2:E149,"Iris-setosa")</f>
        <v>29</v>
      </c>
      <c r="O13" s="31">
        <f>COUNTIFS(A2:A149, "&gt;=4.85", E2:E149,"Iris-versicolor")</f>
        <v>39</v>
      </c>
      <c r="P13" s="31">
        <f>COUNTIFS(A2:A149, "&gt;=4.85", E2:E149,"Iris-virginica")</f>
        <v>40</v>
      </c>
      <c r="Q13" s="34"/>
      <c r="S13">
        <f t="shared" si="7"/>
        <v>3.2000000000000011</v>
      </c>
      <c r="T13">
        <f t="shared" si="1"/>
        <v>3.2500000000000009</v>
      </c>
      <c r="V13" s="31"/>
      <c r="W13" s="31" t="s">
        <v>10</v>
      </c>
      <c r="X13" s="31">
        <v>39</v>
      </c>
      <c r="Y13" s="31">
        <f>40-Y12</f>
        <v>30</v>
      </c>
      <c r="Z13" s="31">
        <v>34</v>
      </c>
      <c r="AA13" s="34"/>
      <c r="AC13">
        <v>3.5</v>
      </c>
      <c r="AD13">
        <f t="shared" si="2"/>
        <v>3.55</v>
      </c>
      <c r="AF13" s="31"/>
      <c r="AG13" s="31" t="s">
        <v>10</v>
      </c>
      <c r="AH13" s="31">
        <v>9</v>
      </c>
      <c r="AI13" s="31">
        <v>40</v>
      </c>
      <c r="AJ13" s="31">
        <v>40</v>
      </c>
      <c r="AK13" s="34"/>
      <c r="AM13">
        <f t="shared" si="19"/>
        <v>1.5000000000000004</v>
      </c>
      <c r="AN13">
        <f t="shared" si="3"/>
        <v>1.5500000000000005</v>
      </c>
      <c r="AP13" s="37"/>
      <c r="AQ13" s="37" t="s">
        <v>10</v>
      </c>
      <c r="AR13" s="37">
        <v>0</v>
      </c>
      <c r="AS13" s="37">
        <v>40</v>
      </c>
      <c r="AT13" s="37">
        <v>40</v>
      </c>
      <c r="AU13" s="38"/>
    </row>
    <row r="14" spans="1:47" x14ac:dyDescent="0.25">
      <c r="A14">
        <v>4.5999999999999996</v>
      </c>
      <c r="B14">
        <v>3.6</v>
      </c>
      <c r="C14">
        <v>1.4</v>
      </c>
      <c r="D14">
        <v>0.2</v>
      </c>
      <c r="E14" t="s">
        <v>5</v>
      </c>
      <c r="G14">
        <f t="shared" si="6"/>
        <v>5.4999999999999956</v>
      </c>
      <c r="J14">
        <f t="shared" si="0"/>
        <v>5.5499999999999954</v>
      </c>
      <c r="L14" s="31">
        <v>4.95</v>
      </c>
      <c r="M14" s="31" t="s">
        <v>9</v>
      </c>
      <c r="N14" s="31">
        <f>COUNTIFS(A2:A149, "&lt;4.95", E2:E149,"Iris-setosa")</f>
        <v>14</v>
      </c>
      <c r="O14" s="31">
        <f>COUNTIFS(A2:A149, "&lt;4.95", E2:E149,"Iris-versicolor")</f>
        <v>1</v>
      </c>
      <c r="P14" s="31">
        <f>COUNTIFS(A2:A149, "&lt;4.95", E2:E149,"Iris-virginica")</f>
        <v>1</v>
      </c>
      <c r="Q14" s="34">
        <f t="shared" ref="Q14" si="25">(1-POWER(N14/SUM(N14,O14,P14),2)-POWER(O14/SUM(N14,O14,P14),2)-POWER(P14/SUM(N14,O14,P14),2))*SUM(N14,O14,P14)/120+(1-POWER(N15/SUM(N15,O15,P15),2)-POWER(O15/SUM(N15,O15,P15),2)-POWER(P15/SUM(N15,O15,P15),2))*SUM(N15,O15,P15)/120</f>
        <v>0.59895833333333326</v>
      </c>
      <c r="S14">
        <f t="shared" si="7"/>
        <v>3.3000000000000012</v>
      </c>
      <c r="T14">
        <f t="shared" si="1"/>
        <v>3.3500000000000014</v>
      </c>
      <c r="V14" s="31">
        <v>2.75</v>
      </c>
      <c r="W14" s="31" t="s">
        <v>9</v>
      </c>
      <c r="X14" s="31">
        <f>COUNTIFS(B2:B149, "&lt; 2.75", E2:E149,"Iris-setosa")</f>
        <v>1</v>
      </c>
      <c r="Y14" s="31">
        <f>COUNTIFS(B2:B149, "&lt; 2.75", E2:E149,"Iris-versicolor")</f>
        <v>14</v>
      </c>
      <c r="Z14" s="31">
        <f>COUNTIFS(B2:B149, "&lt; 2.75", E2:E149,"Iris-virginica")</f>
        <v>10</v>
      </c>
      <c r="AA14" s="34">
        <f t="shared" ref="AA14" si="26">(1-POWER(X14/SUM(X14,Y14,Z14),2)-POWER(Y14/SUM(X14,Y14,Z14),2)-POWER(Z14/SUM(X14,Y14,Z14),2))*SUM(X14,Y14,Z14)/120+(1-POWER(X15/SUM(X15,Y15,Z15),2)-POWER(Y15/SUM(X15,Y15,Z15),2)-POWER(Z15/SUM(X15,Y15,Z15),2))*SUM(X15,Y15,Z15)/120</f>
        <v>0.6293333333333333</v>
      </c>
      <c r="AC14">
        <v>3.6</v>
      </c>
      <c r="AD14">
        <f t="shared" si="2"/>
        <v>3.6500000000000004</v>
      </c>
      <c r="AF14" s="31">
        <v>1.65</v>
      </c>
      <c r="AG14" s="31" t="s">
        <v>9</v>
      </c>
      <c r="AH14" s="31">
        <f>COUNTIFS(C2:C149, "&lt; 1.65", E2:E149,"Iris-setosa")</f>
        <v>35</v>
      </c>
      <c r="AI14" s="31">
        <f>COUNTIFS(C2:C149, "&lt; 1.65", E2:E149,"Iris-versicolor")</f>
        <v>0</v>
      </c>
      <c r="AJ14" s="31">
        <f>COUNTIFS(C2:C149, "&lt; 1.65", E2:E149,"Iris-virginica")</f>
        <v>0</v>
      </c>
      <c r="AK14" s="34">
        <f t="shared" ref="AK14" si="27">(1-POWER(AH14/SUM(AH14,AI14,AJ14),2)-POWER(AI14/SUM(AH14,AI14,AJ14),2)-POWER(AJ14/SUM(AH14,AI14,AJ14),2))*SUM(AH14,AI14,AJ14)/120+(1-POWER(AH15/SUM(AH15,AI15,AJ15),2)-POWER(AI15/SUM(AH15,AI15,AJ15),2)-POWER(AJ15/SUM(AH15,AI15,AJ15),2))*SUM(AH15,AI15,AJ15)/120</f>
        <v>0.39215686274509787</v>
      </c>
      <c r="AM14">
        <f t="shared" si="19"/>
        <v>1.6000000000000005</v>
      </c>
      <c r="AN14">
        <f t="shared" si="3"/>
        <v>1.6500000000000006</v>
      </c>
      <c r="AP14" s="31">
        <v>1.05</v>
      </c>
      <c r="AQ14" s="31" t="s">
        <v>9</v>
      </c>
      <c r="AR14" s="31">
        <f>COUNTIFS(D2:D121, "&lt; 1.05", E2:E121,"Iris-setosa")</f>
        <v>40</v>
      </c>
      <c r="AS14" s="31">
        <f>COUNTIFS(D2:D121, "&lt; 1.05", E2:E121,"Iris-versicolor")</f>
        <v>6</v>
      </c>
      <c r="AT14" s="31">
        <f>COUNTIFS(D2:D121, "&lt; 1.05", E2:E121,"Iris-virginica")</f>
        <v>0</v>
      </c>
      <c r="AU14" s="34">
        <f t="shared" ref="AU14" si="28">(1-POWER(AR14/SUM(AR14,AS14,AT14),2)-POWER(AS14/SUM(AR14,AS14,AT14),2)-POWER(AT14/SUM(AR14,AS14,AT14),2))*SUM(AR14,AS14,AT14)/120+(1-POWER(AR15/SUM(AR15,AS15,AT15),2)-POWER(AS15/SUM(AR15,AS15,AT15),2)-POWER(AT15/SUM(AR15,AS15,AT15),2))*SUM(AR15,AS15,AT15)/120</f>
        <v>0.39326282804543677</v>
      </c>
    </row>
    <row r="15" spans="1:47" x14ac:dyDescent="0.25">
      <c r="A15">
        <v>5.0999999999999996</v>
      </c>
      <c r="B15">
        <v>3.4</v>
      </c>
      <c r="C15">
        <v>1.5</v>
      </c>
      <c r="D15">
        <v>0.2</v>
      </c>
      <c r="E15" t="s">
        <v>5</v>
      </c>
      <c r="G15">
        <f t="shared" si="6"/>
        <v>5.5999999999999952</v>
      </c>
      <c r="J15">
        <f t="shared" si="0"/>
        <v>5.649999999999995</v>
      </c>
      <c r="L15" s="31"/>
      <c r="M15" s="31" t="s">
        <v>10</v>
      </c>
      <c r="N15" s="31">
        <f>COUNTIFS(A2:A149, "&gt;=4.95", E2:E149,"Iris-setosa")</f>
        <v>26</v>
      </c>
      <c r="O15" s="31">
        <f>COUNTIFS(A2:A149, "&gt;=4.95", E2:E149,"Iris-versicolor")</f>
        <v>39</v>
      </c>
      <c r="P15" s="31">
        <f>COUNTIFS(A2:A149, "&gt;=4.95", E2:E149,"Iris-virginica")</f>
        <v>39</v>
      </c>
      <c r="Q15" s="34"/>
      <c r="S15">
        <f t="shared" si="7"/>
        <v>3.4000000000000012</v>
      </c>
      <c r="T15">
        <f t="shared" si="1"/>
        <v>3.4500000000000011</v>
      </c>
      <c r="V15" s="31"/>
      <c r="W15" s="31" t="s">
        <v>10</v>
      </c>
      <c r="X15" s="31">
        <v>39</v>
      </c>
      <c r="Y15" s="31">
        <f>40-Y14</f>
        <v>26</v>
      </c>
      <c r="Z15" s="31">
        <v>30</v>
      </c>
      <c r="AA15" s="34"/>
      <c r="AC15">
        <v>3.7</v>
      </c>
      <c r="AD15">
        <f t="shared" si="2"/>
        <v>3.75</v>
      </c>
      <c r="AF15" s="31"/>
      <c r="AG15" s="31" t="s">
        <v>10</v>
      </c>
      <c r="AH15" s="31">
        <v>5</v>
      </c>
      <c r="AI15" s="31">
        <v>40</v>
      </c>
      <c r="AJ15" s="31">
        <v>40</v>
      </c>
      <c r="AK15" s="34"/>
      <c r="AM15">
        <f t="shared" si="19"/>
        <v>1.7000000000000006</v>
      </c>
      <c r="AN15">
        <f t="shared" si="3"/>
        <v>1.7500000000000007</v>
      </c>
      <c r="AP15" s="31"/>
      <c r="AQ15" s="31" t="s">
        <v>10</v>
      </c>
      <c r="AR15" s="31">
        <v>0</v>
      </c>
      <c r="AS15" s="31">
        <v>34</v>
      </c>
      <c r="AT15" s="31">
        <v>40</v>
      </c>
      <c r="AU15" s="34"/>
    </row>
    <row r="16" spans="1:47" x14ac:dyDescent="0.25">
      <c r="A16">
        <v>4.8</v>
      </c>
      <c r="B16">
        <v>3</v>
      </c>
      <c r="C16">
        <v>1.6</v>
      </c>
      <c r="D16">
        <v>0.2</v>
      </c>
      <c r="E16" t="s">
        <v>5</v>
      </c>
      <c r="G16">
        <f t="shared" si="6"/>
        <v>5.6999999999999948</v>
      </c>
      <c r="J16">
        <f t="shared" si="0"/>
        <v>5.7499999999999947</v>
      </c>
      <c r="L16" s="31">
        <v>5.05</v>
      </c>
      <c r="M16" s="31" t="s">
        <v>9</v>
      </c>
      <c r="N16" s="31">
        <f>COUNTIFS(A2:A149, "&lt;5.05", E2:E149,"Iris-setosa")</f>
        <v>21</v>
      </c>
      <c r="O16" s="31">
        <f>COUNTIFS(A2:A149, "&lt;5.05", E2:E149,"Iris-versicolor")</f>
        <v>2</v>
      </c>
      <c r="P16" s="31">
        <f>COUNTIFS(A2:A149, "&lt;5.05", E2:E149,"Iris-virginica")</f>
        <v>2</v>
      </c>
      <c r="Q16" s="34">
        <f t="shared" ref="Q16" si="29">(1-POWER(N16/SUM(N16,O16,P16),2)-POWER(O16/SUM(N16,O16,P16),2)-POWER(P16/SUM(N16,O16,P16),2))*SUM(N16,O16,P16)/120+(1-POWER(N17/SUM(N17,O17,P17),2)-POWER(O17/SUM(N17,O17,P17),2)-POWER(P17/SUM(N17,O17,P17),2))*SUM(N17,O17,P17)/120</f>
        <v>0.56533333333333324</v>
      </c>
      <c r="S16">
        <f t="shared" si="7"/>
        <v>3.5000000000000013</v>
      </c>
      <c r="T16">
        <f t="shared" si="1"/>
        <v>3.5500000000000016</v>
      </c>
      <c r="V16" s="31">
        <v>2.85</v>
      </c>
      <c r="W16" s="31" t="s">
        <v>9</v>
      </c>
      <c r="X16" s="31">
        <f>COUNTIFS(B2:B149, "&lt; 2.85", E2:E149,"Iris-setosa")</f>
        <v>1</v>
      </c>
      <c r="Y16" s="31">
        <f>COUNTIFS(B2:B149, "&lt; 2.85", E2:E149,"Iris-versicolor")</f>
        <v>20</v>
      </c>
      <c r="Z16" s="31">
        <f>COUNTIFS(B2:B149, "&lt; 2.85", E2:E149,"Iris-virginica")</f>
        <v>16</v>
      </c>
      <c r="AA16" s="34">
        <f t="shared" ref="AA16" si="30">(1-POWER(X16/SUM(X16,Y16,Z16),2)-POWER(Y16/SUM(X16,Y16,Z16),2)-POWER(Z16/SUM(X16,Y16,Z16),2))*SUM(X16,Y16,Z16)/120+(1-POWER(X17/SUM(X17,Y17,Z17),2)-POWER(Y17/SUM(X17,Y17,Z17),2)-POWER(Z17/SUM(X17,Y17,Z17),2))*SUM(X17,Y17,Z17)/120</f>
        <v>0.60132421578204709</v>
      </c>
      <c r="AC16">
        <v>3.8</v>
      </c>
      <c r="AD16">
        <f t="shared" si="2"/>
        <v>3.8499999999999996</v>
      </c>
      <c r="AF16" s="31">
        <v>1.8</v>
      </c>
      <c r="AG16" s="31" t="s">
        <v>9</v>
      </c>
      <c r="AH16" s="31">
        <f>COUNTIFS(C2:C149, "&lt; 1.8", E2:E149,"Iris-setosa")</f>
        <v>39</v>
      </c>
      <c r="AI16" s="31">
        <f>COUNTIFS(C2:C149, "&lt; 1.8", E2:E149,"Iris-versicolor")</f>
        <v>0</v>
      </c>
      <c r="AJ16" s="31">
        <f>COUNTIFS(C2:C149, "&lt; 1.8", E2:E149,"Iris-virginica")</f>
        <v>0</v>
      </c>
      <c r="AK16" s="34">
        <f t="shared" ref="AK16" si="31">(1-POWER(AH16/SUM(AH16,AI16,AJ16),2)-POWER(AI16/SUM(AH16,AI16,AJ16),2)-POWER(AJ16/SUM(AH16,AI16,AJ16),2))*SUM(AH16,AI16,AJ16)/120+(1-POWER(AH17/SUM(AH17,AI17,AJ17),2)-POWER(AI17/SUM(AH17,AI17,AJ17),2)-POWER(AJ17/SUM(AH17,AI17,AJ17),2))*SUM(AH17,AI17,AJ17)/120</f>
        <v>0.34567901234567899</v>
      </c>
      <c r="AM16">
        <f t="shared" si="19"/>
        <v>1.8000000000000007</v>
      </c>
      <c r="AN16">
        <f t="shared" si="3"/>
        <v>1.8500000000000008</v>
      </c>
      <c r="AP16" s="31">
        <v>1.1499999999999999</v>
      </c>
      <c r="AQ16" s="31" t="s">
        <v>9</v>
      </c>
      <c r="AR16" s="31">
        <f>COUNTIFS(D2:D121, "&lt; 1.15", E2:E121,"Iris-setosa")</f>
        <v>40</v>
      </c>
      <c r="AS16" s="31">
        <f>COUNTIFS(D2:D121, "&lt; 1.15", E2:E121,"Iris-versicolor")</f>
        <v>7</v>
      </c>
      <c r="AT16" s="31">
        <f>COUNTIFS(D2:D121, "&lt; 1.15", E2:E121,"Iris-virginica")</f>
        <v>0</v>
      </c>
      <c r="AU16" s="34">
        <f t="shared" ref="AU16" si="32">(1-POWER(AR16/SUM(AR16,AS16,AT16),2)-POWER(AS16/SUM(AR16,AS16,AT16),2)-POWER(AT16/SUM(AR16,AS16,AT16),2))*SUM(AR16,AS16,AT16)/120+(1-POWER(AR17/SUM(AR17,AS17,AT17),2)-POWER(AS17/SUM(AR17,AS17,AT17),2)-POWER(AT17/SUM(AR17,AS17,AT17),2))*SUM(AR17,AS17,AT17)/120</f>
        <v>0.40066064315554262</v>
      </c>
    </row>
    <row r="17" spans="1:47" x14ac:dyDescent="0.25">
      <c r="A17">
        <v>5</v>
      </c>
      <c r="B17">
        <v>3.4</v>
      </c>
      <c r="C17">
        <v>1.6</v>
      </c>
      <c r="D17">
        <v>0.4</v>
      </c>
      <c r="E17" t="s">
        <v>5</v>
      </c>
      <c r="G17">
        <f t="shared" si="6"/>
        <v>5.7999999999999945</v>
      </c>
      <c r="J17">
        <f t="shared" si="0"/>
        <v>5.8499999999999943</v>
      </c>
      <c r="L17" s="31"/>
      <c r="M17" s="31" t="s">
        <v>10</v>
      </c>
      <c r="N17" s="31">
        <f>COUNTIFS(A2:A149, "&gt;=5.05", E2:E149,"Iris-setosa")</f>
        <v>19</v>
      </c>
      <c r="O17" s="31">
        <f>COUNTIFS(A2:A149, "&gt;=5.05", E2:E149,"Iris-versicolor")</f>
        <v>38</v>
      </c>
      <c r="P17" s="31">
        <f>COUNTIFS(A2:A149, "&gt;=5.05", E2:E149,"Iris-virginica")</f>
        <v>38</v>
      </c>
      <c r="Q17" s="34"/>
      <c r="S17">
        <f t="shared" si="7"/>
        <v>3.6000000000000014</v>
      </c>
      <c r="T17">
        <f t="shared" si="1"/>
        <v>3.6500000000000012</v>
      </c>
      <c r="V17" s="31"/>
      <c r="W17" s="31" t="s">
        <v>10</v>
      </c>
      <c r="X17" s="31">
        <v>39</v>
      </c>
      <c r="Y17" s="31">
        <f>40-Y16</f>
        <v>20</v>
      </c>
      <c r="Z17" s="31">
        <v>24</v>
      </c>
      <c r="AA17" s="34"/>
      <c r="AC17">
        <v>3.9</v>
      </c>
      <c r="AD17">
        <f t="shared" si="2"/>
        <v>3.95</v>
      </c>
      <c r="AF17" s="31"/>
      <c r="AG17" s="31" t="s">
        <v>10</v>
      </c>
      <c r="AH17" s="31">
        <v>1</v>
      </c>
      <c r="AI17" s="31">
        <v>40</v>
      </c>
      <c r="AJ17" s="31">
        <v>40</v>
      </c>
      <c r="AK17" s="34"/>
      <c r="AM17">
        <f t="shared" si="19"/>
        <v>1.9000000000000008</v>
      </c>
      <c r="AN17">
        <f t="shared" si="3"/>
        <v>1.9500000000000008</v>
      </c>
      <c r="AP17" s="31"/>
      <c r="AQ17" s="31" t="s">
        <v>10</v>
      </c>
      <c r="AR17" s="31">
        <v>0</v>
      </c>
      <c r="AS17" s="31">
        <v>33</v>
      </c>
      <c r="AT17" s="31">
        <v>40</v>
      </c>
      <c r="AU17" s="34"/>
    </row>
    <row r="18" spans="1:47" x14ac:dyDescent="0.25">
      <c r="A18">
        <v>5</v>
      </c>
      <c r="B18">
        <v>3.2</v>
      </c>
      <c r="C18">
        <v>1.2</v>
      </c>
      <c r="D18">
        <v>0.2</v>
      </c>
      <c r="E18" t="s">
        <v>5</v>
      </c>
      <c r="G18">
        <f t="shared" si="6"/>
        <v>5.8999999999999941</v>
      </c>
      <c r="J18">
        <f t="shared" si="0"/>
        <v>5.949999999999994</v>
      </c>
      <c r="L18" s="31">
        <v>5.15</v>
      </c>
      <c r="M18" s="31" t="s">
        <v>9</v>
      </c>
      <c r="N18" s="31">
        <v>26</v>
      </c>
      <c r="O18" s="31">
        <v>3</v>
      </c>
      <c r="P18" s="31">
        <f>COUNTIFS(A2:A149, "&lt;5.15", E2:E149,"Iris-virginica")</f>
        <v>4</v>
      </c>
      <c r="Q18" s="34">
        <f t="shared" ref="Q18" si="33">(1-POWER(N18/SUM(N18,O18,P18),2)-POWER(O18/SUM(N18,O18,P18),2)-POWER(P18/SUM(N18,O18,P18),2))*SUM(N18,O18,P18)/120+(1-POWER(N19/SUM(N19,O19,P19),2)-POWER(O19/SUM(N19,O19,P19),2)-POWER(P19/SUM(N19,O19,P19),2))*SUM(N19,O19,P19)/120</f>
        <v>0.54893765238592829</v>
      </c>
      <c r="S18">
        <f t="shared" si="7"/>
        <v>3.7000000000000015</v>
      </c>
      <c r="T18">
        <f t="shared" si="1"/>
        <v>3.7500000000000018</v>
      </c>
      <c r="V18" s="31">
        <v>2.95</v>
      </c>
      <c r="W18" s="31" t="s">
        <v>9</v>
      </c>
      <c r="X18" s="31">
        <f>COUNTIFS(B2:B149, "&lt; 2.95", E2:E149,"Iris-setosa")</f>
        <v>2</v>
      </c>
      <c r="Y18" s="31">
        <f>COUNTIFS(B2:B149, "&lt; 2.95", E2:E149,"Iris-versicolor")</f>
        <v>26</v>
      </c>
      <c r="Z18" s="31">
        <f>COUNTIFS(B2:B149, "&lt; 2.95", E2:E149,"Iris-virginica")</f>
        <v>17</v>
      </c>
      <c r="AA18" s="34">
        <f t="shared" ref="AA18" si="34">(1-POWER(X18/SUM(X18,Y18,Z18),2)-POWER(Y18/SUM(X18,Y18,Z18),2)-POWER(Z18/SUM(X18,Y18,Z18),2))*SUM(X18,Y18,Z18)/120+(1-POWER(X19/SUM(X19,Y19,Z19),2)-POWER(Y19/SUM(X19,Y19,Z19),2)-POWER(Z19/SUM(X19,Y19,Z19),2))*SUM(X19,Y19,Z19)/120</f>
        <v>0.57955555555555571</v>
      </c>
      <c r="AC18">
        <v>4</v>
      </c>
      <c r="AD18">
        <f t="shared" si="2"/>
        <v>4.05</v>
      </c>
      <c r="AF18" s="37">
        <v>2.4500000000000002</v>
      </c>
      <c r="AG18" s="37" t="s">
        <v>9</v>
      </c>
      <c r="AH18" s="37">
        <f>COUNTIFS(C2:C149, "&lt; 2.45", E2:E149,"Iris-setosa")</f>
        <v>40</v>
      </c>
      <c r="AI18" s="37">
        <f>COUNTIFS(C2:C149, "&lt; 2.45", E2:E149,"Iris-versicolor")</f>
        <v>0</v>
      </c>
      <c r="AJ18" s="37">
        <f>COUNTIFS(C2:C149, "&lt; 2.45", E2:E149,"Iris-virginica")</f>
        <v>0</v>
      </c>
      <c r="AK18" s="38">
        <f t="shared" ref="AK18" si="35">(1-POWER(AH18/SUM(AH18,AI18,AJ18),2)-POWER(AI18/SUM(AH18,AI18,AJ18),2)-POWER(AJ18/SUM(AH18,AI18,AJ18),2))*SUM(AH18,AI18,AJ18)/120+(1-POWER(AH19/SUM(AH19,AI19,AJ19),2)-POWER(AI19/SUM(AH19,AI19,AJ19),2)-POWER(AJ19/SUM(AH19,AI19,AJ19),2))*SUM(AH19,AI19,AJ19)/120</f>
        <v>0.33333333333333331</v>
      </c>
      <c r="AM18">
        <f t="shared" si="19"/>
        <v>2.0000000000000009</v>
      </c>
      <c r="AN18">
        <f t="shared" si="3"/>
        <v>2.0500000000000007</v>
      </c>
      <c r="AP18" s="31">
        <v>1.25</v>
      </c>
      <c r="AQ18" s="31" t="s">
        <v>9</v>
      </c>
      <c r="AR18" s="31">
        <f>COUNTIFS(D2:D121, "&lt; 1.25", E2:E121,"Iris-setosa")</f>
        <v>40</v>
      </c>
      <c r="AS18" s="31">
        <f>COUNTIFS(D2:D121, "&lt; 1.25", E2:E121,"Iris-versicolor")</f>
        <v>11</v>
      </c>
      <c r="AT18" s="31">
        <f>COUNTIFS(D2:D121, "&lt; 1.25", E2:E121,"Iris-virginica")</f>
        <v>0</v>
      </c>
      <c r="AU18" s="34">
        <f t="shared" ref="AU18" si="36">(1-POWER(AR18/SUM(AR18,AS18,AT18),2)-POWER(AS18/SUM(AR18,AS18,AT18),2)-POWER(AT18/SUM(AR18,AS18,AT18),2))*SUM(AR18,AS18,AT18)/120+(1-POWER(AR19/SUM(AR19,AS19,AT19),2)-POWER(AS19/SUM(AR19,AS19,AT19),2)-POWER(AT19/SUM(AR19,AS19,AT19),2))*SUM(AR19,AS19,AT19)/120</f>
        <v>0.42398408638817853</v>
      </c>
    </row>
    <row r="19" spans="1:47" x14ac:dyDescent="0.25">
      <c r="A19">
        <v>5.2</v>
      </c>
      <c r="B19">
        <v>3.5</v>
      </c>
      <c r="C19">
        <v>1.3</v>
      </c>
      <c r="D19">
        <v>0.3</v>
      </c>
      <c r="E19" t="s">
        <v>5</v>
      </c>
      <c r="G19">
        <f t="shared" si="6"/>
        <v>5.9999999999999938</v>
      </c>
      <c r="J19">
        <f t="shared" si="0"/>
        <v>6.0499999999999936</v>
      </c>
      <c r="L19" s="31"/>
      <c r="M19" s="31" t="s">
        <v>10</v>
      </c>
      <c r="N19" s="31">
        <f>COUNTIFS(A2:A149, "&gt;=5.15", E2:E149,"Iris-setosa")</f>
        <v>14</v>
      </c>
      <c r="O19" s="31">
        <f>COUNTIFS(A2:A149, "&gt;=5.15", E2:E149,"Iris-versicolor")</f>
        <v>37</v>
      </c>
      <c r="P19" s="31">
        <f>COUNTIFS(A2:A149, "&gt;=5.15", E2:E149,"Iris-virginica")</f>
        <v>36</v>
      </c>
      <c r="Q19" s="34"/>
      <c r="S19">
        <f t="shared" si="7"/>
        <v>3.8000000000000016</v>
      </c>
      <c r="T19">
        <f t="shared" si="1"/>
        <v>3.8500000000000014</v>
      </c>
      <c r="V19" s="31"/>
      <c r="W19" s="31" t="s">
        <v>10</v>
      </c>
      <c r="X19" s="31">
        <v>38</v>
      </c>
      <c r="Y19" s="31">
        <f>40-Y18</f>
        <v>14</v>
      </c>
      <c r="Z19" s="31">
        <v>23</v>
      </c>
      <c r="AA19" s="34"/>
      <c r="AC19">
        <v>4.0999999999999996</v>
      </c>
      <c r="AD19">
        <f t="shared" si="2"/>
        <v>4.1500000000000004</v>
      </c>
      <c r="AF19" s="37"/>
      <c r="AG19" s="37" t="s">
        <v>10</v>
      </c>
      <c r="AH19" s="37">
        <v>0</v>
      </c>
      <c r="AI19" s="37">
        <v>40</v>
      </c>
      <c r="AJ19" s="37">
        <v>40</v>
      </c>
      <c r="AK19" s="38"/>
      <c r="AM19">
        <f>AM18+0.1</f>
        <v>2.100000000000001</v>
      </c>
      <c r="AN19">
        <f t="shared" si="3"/>
        <v>2.1500000000000012</v>
      </c>
      <c r="AP19" s="31"/>
      <c r="AQ19" s="31" t="s">
        <v>10</v>
      </c>
      <c r="AR19" s="31">
        <v>0</v>
      </c>
      <c r="AS19" s="31">
        <v>29</v>
      </c>
      <c r="AT19" s="31">
        <v>40</v>
      </c>
      <c r="AU19" s="34"/>
    </row>
    <row r="20" spans="1:47" x14ac:dyDescent="0.25">
      <c r="A20">
        <v>5.2</v>
      </c>
      <c r="B20">
        <v>3.5</v>
      </c>
      <c r="C20">
        <v>1.6</v>
      </c>
      <c r="D20">
        <v>0.6</v>
      </c>
      <c r="E20" t="s">
        <v>5</v>
      </c>
      <c r="G20">
        <f t="shared" si="6"/>
        <v>6.0999999999999934</v>
      </c>
      <c r="J20">
        <f t="shared" si="0"/>
        <v>6.1499999999999932</v>
      </c>
      <c r="L20" s="31">
        <v>5.25</v>
      </c>
      <c r="M20" s="31" t="s">
        <v>9</v>
      </c>
      <c r="N20" s="31">
        <v>29</v>
      </c>
      <c r="O20" s="31">
        <f>COUNTIFS(A2:A149, "&lt;5.25", E2:E149,"Iris-versicolor")</f>
        <v>3</v>
      </c>
      <c r="P20" s="31">
        <f>COUNTIFS(A2:A149, "&lt;5.25", E2:E149,"Iris-virginica")</f>
        <v>4</v>
      </c>
      <c r="Q20" s="34">
        <f t="shared" ref="Q20" si="37">(1-POWER(N20/SUM(N20,O20,P20),2)-POWER(O20/SUM(N20,O20,P20),2)-POWER(P20/SUM(N20,O20,P20),2))*SUM(N20,O20,P20)/120+(1-POWER(N21/SUM(N21,O21,P21),2)-POWER(O21/SUM(N21,O21,P21),2)-POWER(P21/SUM(N21,O21,P21),2))*SUM(N21,O21,P21)/120</f>
        <v>0.52314814814814825</v>
      </c>
      <c r="S20">
        <f t="shared" si="7"/>
        <v>3.9000000000000017</v>
      </c>
      <c r="T20">
        <f t="shared" si="1"/>
        <v>3.950000000000002</v>
      </c>
      <c r="V20" s="31">
        <v>3.05</v>
      </c>
      <c r="W20" s="31" t="s">
        <v>9</v>
      </c>
      <c r="X20" s="31">
        <f>COUNTIFS(B2:B149, "&lt; 3.05", E2:E149,"Iris-setosa")</f>
        <v>5</v>
      </c>
      <c r="Y20" s="31">
        <f>COUNTIFS(B2:B149, "&lt; 3.05", E2:E149,"Iris-versicolor")</f>
        <v>32</v>
      </c>
      <c r="Z20" s="31">
        <f>COUNTIFS(B2:B149, "&lt; 3.05", E2:E149,"Iris-virginica")</f>
        <v>26</v>
      </c>
      <c r="AA20" s="34">
        <f t="shared" ref="AA20" si="38">(1-POWER(X20/SUM(X20,Y20,Z20),2)-POWER(Y20/SUM(X20,Y20,Z20),2)-POWER(Z20/SUM(X20,Y20,Z20),2))*SUM(X20,Y20,Z20)/120+(1-POWER(X21/SUM(X21,Y21,Z21),2)-POWER(Y21/SUM(X21,Y21,Z21),2)-POWER(Z21/SUM(X21,Y21,Z21),2))*SUM(X21,Y21,Z21)/120</f>
        <v>0.55472013366750206</v>
      </c>
      <c r="AC20">
        <v>4.2</v>
      </c>
      <c r="AD20">
        <f t="shared" si="2"/>
        <v>4.25</v>
      </c>
      <c r="AF20" s="31">
        <v>3.15</v>
      </c>
      <c r="AG20" s="31" t="s">
        <v>9</v>
      </c>
      <c r="AH20" s="31">
        <f>COUNTIFS(C2:C149, "&lt; 3.15", E2:E149,"Iris-setosa")</f>
        <v>40</v>
      </c>
      <c r="AI20" s="31">
        <f>COUNTIFS(C2:C149, "&lt; 3.15", E2:E149,"Iris-versicolor")</f>
        <v>1</v>
      </c>
      <c r="AJ20" s="31">
        <f>COUNTIFS(C2:C149, "&lt; 3.15", E2:E149,"Iris-virginica")</f>
        <v>0</v>
      </c>
      <c r="AK20" s="34">
        <f t="shared" ref="AK20" si="39">(1-POWER(AH20/SUM(AH20,AI20,AJ20),2)-POWER(AI20/SUM(AH20,AI20,AJ20),2)-POWER(AJ20/SUM(AH20,AI20,AJ20),2))*SUM(AH20,AI20,AJ20)/120+(1-POWER(AH21/SUM(AH21,AI21,AJ21),2)-POWER(AI21/SUM(AH21,AI21,AJ21),2)-POWER(AJ21/SUM(AH21,AI21,AJ21),2))*SUM(AH21,AI21,AJ21)/120</f>
        <v>0.34537408665225894</v>
      </c>
      <c r="AM20">
        <f t="shared" si="19"/>
        <v>2.2000000000000011</v>
      </c>
      <c r="AN20">
        <f t="shared" si="3"/>
        <v>2.2500000000000009</v>
      </c>
      <c r="AP20" s="31">
        <v>1.35</v>
      </c>
      <c r="AQ20" s="31" t="s">
        <v>9</v>
      </c>
      <c r="AR20" s="31">
        <f>COUNTIFS(D2:D121, "&lt; 1.35", E2:E121,"Iris-setosa")</f>
        <v>40</v>
      </c>
      <c r="AS20" s="31">
        <f>COUNTIFS(D2:D121, "&lt; 1.35", E2:E121,"Iris-versicolor")</f>
        <v>19</v>
      </c>
      <c r="AT20" s="31">
        <f>COUNTIFS(D2:D121, "&lt; 1.35", E2:E121,"Iris-virginica")</f>
        <v>0</v>
      </c>
      <c r="AU20" s="34">
        <f t="shared" ref="AU20" si="40">(1-POWER(AR20/SUM(AR20,AS20,AT20),2)-POWER(AS20/SUM(AR20,AS20,AT20),2)-POWER(AT20/SUM(AR20,AS20,AT20),2))*SUM(AR20,AS20,AT20)/120+(1-POWER(AR21/SUM(AR21,AS21,AT21),2)-POWER(AS21/SUM(AR21,AS21,AT21),2)-POWER(AT21/SUM(AR21,AS21,AT21),2))*SUM(AR21,AS21,AT21)/120</f>
        <v>0.44419746225803469</v>
      </c>
    </row>
    <row r="21" spans="1:47" x14ac:dyDescent="0.25">
      <c r="A21">
        <v>4.7</v>
      </c>
      <c r="B21">
        <v>3.3</v>
      </c>
      <c r="C21">
        <v>1.4</v>
      </c>
      <c r="D21">
        <v>0.2</v>
      </c>
      <c r="E21" t="s">
        <v>5</v>
      </c>
      <c r="G21">
        <f t="shared" si="6"/>
        <v>6.1999999999999931</v>
      </c>
      <c r="J21">
        <f t="shared" si="0"/>
        <v>6.2499999999999929</v>
      </c>
      <c r="L21" s="31"/>
      <c r="M21" s="31" t="s">
        <v>10</v>
      </c>
      <c r="N21" s="31">
        <f>COUNTIFS(A2:A149, "&gt;=5.25", E2:E149,"Iris-setosa")</f>
        <v>11</v>
      </c>
      <c r="O21" s="31">
        <f>COUNTIFS(A2:A149, "&gt;=5.25", E2:E149,"Iris-versicolor")</f>
        <v>37</v>
      </c>
      <c r="P21" s="31">
        <f>COUNTIFS(A2:A149, "&gt;=5.25", E2:E149,"Iris-virginica")</f>
        <v>36</v>
      </c>
      <c r="Q21" s="34"/>
      <c r="S21">
        <f t="shared" si="7"/>
        <v>4.0000000000000018</v>
      </c>
      <c r="T21">
        <f t="shared" si="1"/>
        <v>4.0500000000000016</v>
      </c>
      <c r="V21" s="31"/>
      <c r="W21" s="31" t="s">
        <v>10</v>
      </c>
      <c r="X21" s="31">
        <v>35</v>
      </c>
      <c r="Y21" s="31">
        <v>8</v>
      </c>
      <c r="Z21" s="31">
        <v>14</v>
      </c>
      <c r="AA21" s="34"/>
      <c r="AC21">
        <v>4.3</v>
      </c>
      <c r="AD21">
        <f t="shared" si="2"/>
        <v>4.3499999999999996</v>
      </c>
      <c r="AF21" s="31"/>
      <c r="AG21" s="31" t="s">
        <v>10</v>
      </c>
      <c r="AH21" s="31">
        <v>0</v>
      </c>
      <c r="AI21" s="31">
        <v>39</v>
      </c>
      <c r="AJ21" s="31">
        <v>40</v>
      </c>
      <c r="AK21" s="34"/>
      <c r="AM21">
        <f t="shared" si="19"/>
        <v>2.3000000000000012</v>
      </c>
      <c r="AN21">
        <f t="shared" si="3"/>
        <v>2.3500000000000014</v>
      </c>
      <c r="AP21" s="31"/>
      <c r="AQ21" s="31" t="s">
        <v>10</v>
      </c>
      <c r="AR21" s="31">
        <v>0</v>
      </c>
      <c r="AS21" s="31">
        <v>21</v>
      </c>
      <c r="AT21" s="31">
        <v>40</v>
      </c>
      <c r="AU21" s="34"/>
    </row>
    <row r="22" spans="1:47" x14ac:dyDescent="0.25">
      <c r="A22" s="5">
        <v>4.8</v>
      </c>
      <c r="B22" s="5">
        <v>2</v>
      </c>
      <c r="C22" s="5">
        <v>3.5</v>
      </c>
      <c r="D22" s="5">
        <v>1</v>
      </c>
      <c r="E22" s="5" t="s">
        <v>6</v>
      </c>
      <c r="G22">
        <f t="shared" si="6"/>
        <v>6.2999999999999927</v>
      </c>
      <c r="J22">
        <f t="shared" si="0"/>
        <v>6.3499999999999925</v>
      </c>
      <c r="L22" s="37">
        <v>5.35</v>
      </c>
      <c r="M22" s="37" t="s">
        <v>9</v>
      </c>
      <c r="N22" s="37">
        <v>30</v>
      </c>
      <c r="O22" s="37">
        <f>COUNTIFS(A2:A149, "&lt;5.35", E2:E149,"Iris-versicolor")</f>
        <v>3</v>
      </c>
      <c r="P22" s="37">
        <f>COUNTIFS(A2:A121, "&lt;5.35", E2:E121,"Iris-virginica")</f>
        <v>4</v>
      </c>
      <c r="Q22" s="34">
        <f t="shared" ref="Q22" si="41">(1-POWER(N22/SUM(N22,O22,P22),2)-POWER(O22/SUM(N22,O22,P22),2)-POWER(P22/SUM(N22,O22,P22),2))*SUM(N22,O22,P22)/120+(1-POWER(N23/SUM(N23,O23,P23),2)-POWER(O23/SUM(N23,O23,P23),2)-POWER(P23/SUM(N23,O23,P23),2))*SUM(N23,O23,P23)/120</f>
        <v>0.51405622489959835</v>
      </c>
      <c r="S22">
        <f>S21+0.1</f>
        <v>4.1000000000000014</v>
      </c>
      <c r="T22">
        <f t="shared" si="1"/>
        <v>4.1500000000000012</v>
      </c>
      <c r="V22" s="31">
        <v>3.15</v>
      </c>
      <c r="W22" s="31" t="s">
        <v>9</v>
      </c>
      <c r="X22" s="31">
        <f>COUNTIFS(B2:B149, "&lt; 3.15", E2:E149,"Iris-setosa")</f>
        <v>8</v>
      </c>
      <c r="Y22" s="31">
        <f>COUNTIFS(B2:B149, "&lt; 3.15", E2:E149,"Iris-versicolor")</f>
        <v>35</v>
      </c>
      <c r="Z22" s="31">
        <f>COUNTIFS(B2:B149, "&lt; 3.15", E2:E149,"Iris-virginica")</f>
        <v>30</v>
      </c>
      <c r="AA22" s="34">
        <f t="shared" ref="AA22" si="42">(1-POWER(X22/SUM(X22,Y22,Z22),2)-POWER(Y22/SUM(X22,Y22,Z22),2)-POWER(Z22/SUM(X22,Y22,Z22),2))*SUM(X22,Y22,Z22)/120+(1-POWER(X23/SUM(X23,Y23,Z23),2)-POWER(Y23/SUM(X23,Y23,Z23),2)-POWER(Z23/SUM(X23,Y23,Z23),2))*SUM(X23,Y23,Z23)/120</f>
        <v>0.54639075099582246</v>
      </c>
      <c r="AC22">
        <v>4.4000000000000004</v>
      </c>
      <c r="AD22">
        <f t="shared" si="2"/>
        <v>4.45</v>
      </c>
      <c r="AF22" s="31">
        <v>3.4</v>
      </c>
      <c r="AG22" s="31" t="s">
        <v>9</v>
      </c>
      <c r="AH22" s="31">
        <f>COUNTIFS(C2:C149, "&lt; 3.4", E2:E149,"Iris-setosa")</f>
        <v>40</v>
      </c>
      <c r="AI22" s="31">
        <f>COUNTIFS(C2:C149, "&lt; 3.4", E2:E149,"Iris-versicolor")</f>
        <v>3</v>
      </c>
      <c r="AJ22" s="31">
        <f>COUNTIFS(C2:C149, "&lt; 3.4", E2:E149,"Iris-virginica")</f>
        <v>0</v>
      </c>
      <c r="AK22" s="34">
        <f t="shared" ref="AK22" si="43">(1-POWER(AH22/SUM(AH22,AI22,AJ22),2)-POWER(AI22/SUM(AH22,AI22,AJ22),2)-POWER(AJ22/SUM(AH22,AI22,AJ22),2))*SUM(AH22,AI22,AJ22)/120+(1-POWER(AH23/SUM(AH23,AI23,AJ23),2)-POWER(AI23/SUM(AH23,AI23,AJ23),2)-POWER(AJ23/SUM(AH23,AI23,AJ23),2))*SUM(AH23,AI23,AJ23)/120</f>
        <v>0.36685794825329721</v>
      </c>
      <c r="AM22">
        <f t="shared" si="19"/>
        <v>2.4000000000000012</v>
      </c>
      <c r="AN22">
        <f t="shared" si="3"/>
        <v>2.4500000000000011</v>
      </c>
      <c r="AP22" s="31">
        <v>1.45</v>
      </c>
      <c r="AQ22" s="31" t="s">
        <v>9</v>
      </c>
      <c r="AR22" s="31">
        <v>40</v>
      </c>
      <c r="AS22" s="31">
        <f>COUNTIFS(D2:D121, "&lt; 1.45", E2:E121,"Iris-versicolor")</f>
        <v>26</v>
      </c>
      <c r="AT22" s="31">
        <f>COUNTIFS(D2:D121, "&lt; 1.45", E2:E121,"Iris-virginica")</f>
        <v>1</v>
      </c>
      <c r="AU22" s="34">
        <f t="shared" ref="AU22" si="44">(1-POWER(AR22/SUM(AR22,AS22,AT22),2)-POWER(AS22/SUM(AR22,AS22,AT22),2)-POWER(AT22/SUM(AR22,AS22,AT22),2))*SUM(AR22,AS22,AT22)/120+(1-POWER(AR23/SUM(AR23,AS23,AT23),2)-POWER(AS23/SUM(AR23,AS23,AT23),2)-POWER(AT23/SUM(AR23,AS23,AT23),2))*SUM(AR23,AS23,AT23)/120</f>
        <v>0.44682249131699997</v>
      </c>
    </row>
    <row r="23" spans="1:47" x14ac:dyDescent="0.25">
      <c r="A23">
        <v>5.4</v>
      </c>
      <c r="B23">
        <v>2.2999999999999998</v>
      </c>
      <c r="C23">
        <v>3.3</v>
      </c>
      <c r="D23">
        <v>1</v>
      </c>
      <c r="E23" t="s">
        <v>6</v>
      </c>
      <c r="G23">
        <f t="shared" si="6"/>
        <v>6.3999999999999924</v>
      </c>
      <c r="J23">
        <f t="shared" si="0"/>
        <v>6.4499999999999922</v>
      </c>
      <c r="L23" s="37"/>
      <c r="M23" s="37" t="s">
        <v>10</v>
      </c>
      <c r="N23" s="37">
        <f>COUNTIFS(A2:A149, "&gt;=5.35", E2:E149,"Iris-setosa")</f>
        <v>10</v>
      </c>
      <c r="O23" s="37">
        <f>COUNTIFS(A2:A149, "&gt;=5.35", E2:E149,"Iris-versicolor")</f>
        <v>37</v>
      </c>
      <c r="P23" s="37">
        <f>COUNTIFS(A2:A149, "&gt;=5.35", E2:E149,"Iris-virginica")</f>
        <v>36</v>
      </c>
      <c r="Q23" s="34"/>
      <c r="S23">
        <f t="shared" si="7"/>
        <v>4.2000000000000011</v>
      </c>
      <c r="T23">
        <f t="shared" si="1"/>
        <v>4.3000000000000007</v>
      </c>
      <c r="V23" s="31"/>
      <c r="W23" s="31" t="s">
        <v>10</v>
      </c>
      <c r="X23" s="31">
        <v>32</v>
      </c>
      <c r="Y23" s="31">
        <v>5</v>
      </c>
      <c r="Z23" s="31">
        <v>10</v>
      </c>
      <c r="AA23" s="34"/>
      <c r="AC23">
        <f>AC22 + 0.1</f>
        <v>4.5</v>
      </c>
      <c r="AD23">
        <f t="shared" si="2"/>
        <v>4.55</v>
      </c>
      <c r="AF23" s="31"/>
      <c r="AG23" s="31" t="s">
        <v>10</v>
      </c>
      <c r="AH23" s="31">
        <v>0</v>
      </c>
      <c r="AI23" s="31">
        <v>37</v>
      </c>
      <c r="AJ23" s="31">
        <v>40</v>
      </c>
      <c r="AK23" s="34"/>
      <c r="AM23">
        <f t="shared" si="19"/>
        <v>2.5000000000000013</v>
      </c>
      <c r="AP23" s="31"/>
      <c r="AQ23" s="31" t="s">
        <v>10</v>
      </c>
      <c r="AR23" s="31">
        <v>0</v>
      </c>
      <c r="AS23" s="31">
        <v>14</v>
      </c>
      <c r="AT23" s="31">
        <v>39</v>
      </c>
      <c r="AU23" s="34"/>
    </row>
    <row r="24" spans="1:47" x14ac:dyDescent="0.25">
      <c r="A24">
        <v>5.2</v>
      </c>
      <c r="B24">
        <v>3.5</v>
      </c>
      <c r="C24">
        <v>1.4</v>
      </c>
      <c r="D24">
        <v>0.2</v>
      </c>
      <c r="E24" t="s">
        <v>5</v>
      </c>
      <c r="G24">
        <f t="shared" si="6"/>
        <v>6.499999999999992</v>
      </c>
      <c r="J24">
        <f t="shared" si="0"/>
        <v>6.5499999999999918</v>
      </c>
      <c r="L24" s="31">
        <v>5.45</v>
      </c>
      <c r="M24" s="31" t="s">
        <v>9</v>
      </c>
      <c r="N24" s="31">
        <v>31</v>
      </c>
      <c r="O24" s="31">
        <f>COUNTIFS(A2:A149, "&lt;5.45", E2:E149,"Iris-versicolor")</f>
        <v>6</v>
      </c>
      <c r="P24" s="31">
        <f>COUNTIFS(A2:A149, "&lt;5.45", E2:E149,"Iris-virginica")</f>
        <v>4</v>
      </c>
      <c r="Q24" s="34">
        <f t="shared" ref="Q24" si="45">(1-POWER(N24/SUM(N24,O24,P24),2)-POWER(O24/SUM(N24,O24,P24),2)-POWER(P24/SUM(N24,O24,P24),2))*SUM(N24,O24,P24)/120+(1-POWER(N25/SUM(N25,O25,P25),2)-POWER(O25/SUM(N25,O25,P25),2)-POWER(P25/SUM(N25,O25,P25),2))*SUM(N25,O25,P25)/120</f>
        <v>0.52691159822990641</v>
      </c>
      <c r="S24">
        <v>4.4000000000000004</v>
      </c>
      <c r="V24" s="31">
        <v>3.25</v>
      </c>
      <c r="W24" s="31" t="s">
        <v>9</v>
      </c>
      <c r="X24" s="31">
        <f>COUNTIFS(B2:B149, "&lt; 3.25", E2:E149,"Iris-setosa")</f>
        <v>10</v>
      </c>
      <c r="Y24" s="31">
        <f>COUNTIFS(B2:B149, "&lt; 3.25", E2:E149,"Iris-versicolor")</f>
        <v>38</v>
      </c>
      <c r="Z24" s="31">
        <f>COUNTIFS(B2:B149, "&lt; 3.25", E2:E149,"Iris-virginica")</f>
        <v>34</v>
      </c>
      <c r="AA24" s="34">
        <f t="shared" ref="AA24" si="46">(1-POWER(X24/SUM(X24,Y24,Z24),2)-POWER(Y24/SUM(X24,Y24,Z24),2)-POWER(Z24/SUM(X24,Y24,Z24),2))*SUM(X24,Y24,Z24)/120+(1-POWER(X25/SUM(X25,Y25,Z25),2)-POWER(Y25/SUM(X25,Y25,Z25),2)-POWER(Z25/SUM(X25,Y25,Z25),2))*SUM(X25,Y25,Z25)/120</f>
        <v>0.519469405220368</v>
      </c>
      <c r="AC24">
        <f t="shared" ref="AC24:AC39" si="47">AC23 + 0.1</f>
        <v>4.5999999999999996</v>
      </c>
      <c r="AD24">
        <f t="shared" si="2"/>
        <v>4.6499999999999995</v>
      </c>
      <c r="AF24" s="31">
        <v>3.55</v>
      </c>
      <c r="AG24" s="31" t="s">
        <v>9</v>
      </c>
      <c r="AH24" s="31">
        <f>COUNTIFS(C2:C149, "&lt; 3.55", E2:E149,"Iris-setosa")</f>
        <v>40</v>
      </c>
      <c r="AI24" s="31">
        <f>COUNTIFS(C2:C149, "&lt; 3.55", E2:E149,"Iris-versicolor")</f>
        <v>5</v>
      </c>
      <c r="AJ24" s="31">
        <f>COUNTIFS(C2:C149, "&lt; 3.55", E2:E149,"Iris-virginica")</f>
        <v>0</v>
      </c>
      <c r="AK24" s="34">
        <f t="shared" ref="AK24" si="48">(1-POWER(AH24/SUM(AH24,AI24,AJ24),2)-POWER(AI24/SUM(AH24,AI24,AJ24),2)-POWER(AJ24/SUM(AH24,AI24,AJ24),2))*SUM(AH24,AI24,AJ24)/120+(1-POWER(AH25/SUM(AH25,AI25,AJ25),2)-POWER(AI25/SUM(AH25,AI25,AJ25),2)-POWER(AJ25/SUM(AH25,AI25,AJ25),2))*SUM(AH25,AI25,AJ25)/120</f>
        <v>0.38518518518518519</v>
      </c>
      <c r="AP24" s="31">
        <v>1.55</v>
      </c>
      <c r="AQ24" s="31" t="s">
        <v>9</v>
      </c>
      <c r="AR24" s="31">
        <v>40</v>
      </c>
      <c r="AS24" s="31">
        <f>COUNTIFS(D2:D121, "&lt; 1.55", E2:E121,"Iris-versicolor")</f>
        <v>35</v>
      </c>
      <c r="AT24" s="31">
        <f>COUNTIFS(D2:D121, "&lt; 1.55", E2:E121,"Iris-virginica")</f>
        <v>3</v>
      </c>
      <c r="AU24" s="34">
        <f t="shared" ref="AU24" si="49">(1-POWER(AR24/SUM(AR24,AS24,AT24),2)-POWER(AS24/SUM(AR24,AS24,AT24),2)-POWER(AT24/SUM(AR24,AS24,AT24),2))*SUM(AR24,AS24,AT24)/120+(1-POWER(AR25/SUM(AR25,AS25,AT25),2)-POWER(AS25/SUM(AR25,AS25,AT25),2)-POWER(AT25/SUM(AR25,AS25,AT25),2))*SUM(AR25,AS25,AT25)/120</f>
        <v>0.52510683760683763</v>
      </c>
    </row>
    <row r="25" spans="1:47" x14ac:dyDescent="0.25">
      <c r="A25" s="5">
        <v>5.5</v>
      </c>
      <c r="B25" s="5">
        <v>3.5</v>
      </c>
      <c r="C25" s="5">
        <v>1.4</v>
      </c>
      <c r="D25" s="5">
        <v>0.3</v>
      </c>
      <c r="E25" s="5" t="s">
        <v>5</v>
      </c>
      <c r="G25">
        <f t="shared" si="6"/>
        <v>6.5999999999999917</v>
      </c>
      <c r="J25">
        <f t="shared" si="0"/>
        <v>6.6499999999999915</v>
      </c>
      <c r="L25" s="31"/>
      <c r="M25" s="31" t="s">
        <v>10</v>
      </c>
      <c r="N25" s="31">
        <f>COUNTIFS(A2:A149, "&gt;=5.45", E2:E149,"Iris-setosa")</f>
        <v>9</v>
      </c>
      <c r="O25" s="31">
        <f>COUNTIFS(A2:A149, "&gt;=5.45", E2:E149,"Iris-versicolor")</f>
        <v>34</v>
      </c>
      <c r="P25" s="31">
        <f>COUNTIFS(A2:A149, "&gt;=5.45", E2:E149,"Iris-virginica")</f>
        <v>36</v>
      </c>
      <c r="Q25" s="34"/>
      <c r="V25" s="31"/>
      <c r="W25" s="31" t="s">
        <v>10</v>
      </c>
      <c r="X25" s="31">
        <v>30</v>
      </c>
      <c r="Y25" s="31">
        <v>2</v>
      </c>
      <c r="Z25" s="31">
        <v>6</v>
      </c>
      <c r="AA25" s="34"/>
      <c r="AC25">
        <f t="shared" si="47"/>
        <v>4.6999999999999993</v>
      </c>
      <c r="AD25">
        <f t="shared" si="2"/>
        <v>4.7499999999999991</v>
      </c>
      <c r="AF25" s="31"/>
      <c r="AG25" s="31" t="s">
        <v>10</v>
      </c>
      <c r="AH25" s="31">
        <v>0</v>
      </c>
      <c r="AI25" s="31">
        <v>35</v>
      </c>
      <c r="AJ25" s="31">
        <v>40</v>
      </c>
      <c r="AK25" s="34"/>
      <c r="AP25" s="31"/>
      <c r="AQ25" s="31" t="s">
        <v>10</v>
      </c>
      <c r="AR25" s="31">
        <v>0</v>
      </c>
      <c r="AS25" s="31">
        <v>15</v>
      </c>
      <c r="AT25" s="31">
        <v>37</v>
      </c>
      <c r="AU25" s="34"/>
    </row>
    <row r="26" spans="1:47" x14ac:dyDescent="0.25">
      <c r="A26">
        <v>4.9000000000000004</v>
      </c>
      <c r="B26">
        <v>3.8</v>
      </c>
      <c r="C26">
        <v>1.5</v>
      </c>
      <c r="D26">
        <v>0.3</v>
      </c>
      <c r="E26" t="s">
        <v>5</v>
      </c>
      <c r="G26">
        <f t="shared" si="6"/>
        <v>6.6999999999999913</v>
      </c>
      <c r="J26">
        <f t="shared" si="0"/>
        <v>6.7499999999999911</v>
      </c>
      <c r="L26" s="31">
        <v>5.55</v>
      </c>
      <c r="M26" s="31" t="s">
        <v>9</v>
      </c>
      <c r="N26" s="31">
        <v>34</v>
      </c>
      <c r="O26" s="31">
        <f>COUNTIFS(A2:A149, "&lt;5.55", E2:E149,"Iris-versicolor")</f>
        <v>10</v>
      </c>
      <c r="P26" s="31">
        <f>COUNTIFS(A2:A149, "&lt;5.55", E2:E149,"Iris-virginica")</f>
        <v>4</v>
      </c>
      <c r="Q26" s="34">
        <f t="shared" ref="Q26" si="50">(1-POWER(N26/SUM(N26,O26,P26),2)-POWER(O26/SUM(N26,O26,P26),2)-POWER(P26/SUM(N26,O26,P26),2))*SUM(N26,O26,P26)/120+(1-POWER(N27/SUM(N27,O27,P27),2)-POWER(O27/SUM(N27,O27,P27),2)-POWER(P27/SUM(N27,O27,P27),2))*SUM(N27,O27,P27)/120</f>
        <v>0.52083333333333337</v>
      </c>
      <c r="V26" s="37">
        <v>3.35</v>
      </c>
      <c r="W26" s="37" t="s">
        <v>9</v>
      </c>
      <c r="X26" s="37">
        <f>COUNTIFS(B2:B149, "&lt; 3.35", E2:E149,"Iris-setosa")</f>
        <v>12</v>
      </c>
      <c r="Y26" s="37">
        <f>COUNTIFS(B2:B149, "&lt; 3.35", E2:E149,"Iris-versicolor")</f>
        <v>39</v>
      </c>
      <c r="Z26" s="37">
        <f>COUNTIFS(B2:B149, "&lt; 3.35", E2:E149,"Iris-virginica")</f>
        <v>37</v>
      </c>
      <c r="AA26" s="38">
        <f t="shared" ref="AA26" si="51">(1-POWER(X26/SUM(X26,Y26,Z26),2)-POWER(Y26/SUM(X26,Y26,Z26),2)-POWER(Z26/SUM(X26,Y26,Z26),2))*SUM(X26,Y26,Z26)/120+(1-POWER(X27/SUM(X27,Y27,Z27),2)-POWER(Y27/SUM(X27,Y27,Z27),2)-POWER(Z27/SUM(X27,Y27,Z27),2))*SUM(X27,Y27,Z27)/120</f>
        <v>0.50591856060606066</v>
      </c>
      <c r="AC26">
        <f t="shared" si="47"/>
        <v>4.7999999999999989</v>
      </c>
      <c r="AD26">
        <f t="shared" si="2"/>
        <v>4.8499999999999988</v>
      </c>
      <c r="AF26" s="31">
        <v>3.65</v>
      </c>
      <c r="AG26" s="31" t="s">
        <v>9</v>
      </c>
      <c r="AH26" s="31">
        <f>COUNTIFS(C2:C149, "&lt; 3.65", E2:E149,"Iris-setosa")</f>
        <v>40</v>
      </c>
      <c r="AI26" s="31">
        <f>COUNTIFS(C2:C149, "&lt; 3.65", E2:E149,"Iris-versicolor")</f>
        <v>5</v>
      </c>
      <c r="AJ26" s="31">
        <f>COUNTIFS(C2:C149, "&lt; 3.65", E2:E149,"Iris-virginica")</f>
        <v>0</v>
      </c>
      <c r="AK26" s="34">
        <f t="shared" ref="AK26" si="52">(1-POWER(AH26/SUM(AH26,AI26,AJ26),2)-POWER(AI26/SUM(AH26,AI26,AJ26),2)-POWER(AJ26/SUM(AH26,AI26,AJ26),2))*SUM(AH26,AI26,AJ26)/120+(1-POWER(AH27/SUM(AH27,AI27,AJ27),2)-POWER(AI27/SUM(AH27,AI27,AJ27),2)-POWER(AJ27/SUM(AH27,AI27,AJ27),2))*SUM(AH27,AI27,AJ27)/120</f>
        <v>0.38518518518518519</v>
      </c>
      <c r="AP26" s="31">
        <v>1.65</v>
      </c>
      <c r="AQ26" s="31" t="s">
        <v>9</v>
      </c>
      <c r="AR26" s="31">
        <v>40</v>
      </c>
      <c r="AS26" s="31">
        <f>COUNTIFS(D2:D121, "&lt; 1.65", E2:E121,"Iris-versicolor")</f>
        <v>38</v>
      </c>
      <c r="AT26" s="31">
        <f>COUNTIFS(D2:D121, "&lt; 1.65", E2:E121,"Iris-virginica")</f>
        <v>3</v>
      </c>
      <c r="AU26" s="34">
        <f t="shared" ref="AU26" si="53">(1-POWER(AR26/SUM(AR26,AS26,AT26),2)-POWER(AS26/SUM(AR26,AS26,AT26),2)-POWER(AT26/SUM(AR26,AS26,AT26),2))*SUM(AR26,AS26,AT26)/120+(1-POWER(AR27/SUM(AR27,AS27,AT27),2)-POWER(AS27/SUM(AR27,AS27,AT27),2)-POWER(AT27/SUM(AR27,AS27,AT27),2))*SUM(AR27,AS27,AT27)/120</f>
        <v>0.39252928141817039</v>
      </c>
    </row>
    <row r="27" spans="1:47" x14ac:dyDescent="0.25">
      <c r="A27">
        <v>5</v>
      </c>
      <c r="B27">
        <v>3.7</v>
      </c>
      <c r="C27">
        <v>1.5</v>
      </c>
      <c r="D27">
        <v>0.4</v>
      </c>
      <c r="E27" t="s">
        <v>5</v>
      </c>
      <c r="G27">
        <f t="shared" si="6"/>
        <v>6.7999999999999909</v>
      </c>
      <c r="J27">
        <f t="shared" si="0"/>
        <v>6.8499999999999908</v>
      </c>
      <c r="L27" s="31"/>
      <c r="M27" s="31" t="s">
        <v>10</v>
      </c>
      <c r="N27" s="31">
        <f>COUNTIFS(A2:A149, "&gt;=5.55", E2:E149,"Iris-setosa")</f>
        <v>6</v>
      </c>
      <c r="O27" s="31">
        <f>COUNTIFS(A2:A149, "&gt;=5.55", E2:E149,"Iris-versicolor")</f>
        <v>30</v>
      </c>
      <c r="P27" s="31">
        <f>COUNTIFS(A2:A149, "&gt;=5.55", E2:E149,"Iris-virginica")</f>
        <v>36</v>
      </c>
      <c r="Q27" s="34"/>
      <c r="V27" s="37"/>
      <c r="W27" s="37" t="s">
        <v>10</v>
      </c>
      <c r="X27" s="37">
        <v>28</v>
      </c>
      <c r="Y27" s="37">
        <v>1</v>
      </c>
      <c r="Z27" s="37">
        <v>3</v>
      </c>
      <c r="AA27" s="38"/>
      <c r="AC27">
        <f t="shared" si="47"/>
        <v>4.8999999999999986</v>
      </c>
      <c r="AD27">
        <f t="shared" si="2"/>
        <v>4.9499999999999984</v>
      </c>
      <c r="AF27" s="31"/>
      <c r="AG27" s="31" t="s">
        <v>10</v>
      </c>
      <c r="AH27" s="31">
        <v>0</v>
      </c>
      <c r="AI27" s="31">
        <v>35</v>
      </c>
      <c r="AJ27" s="31">
        <v>40</v>
      </c>
      <c r="AK27" s="34"/>
      <c r="AP27" s="31"/>
      <c r="AQ27" s="31" t="s">
        <v>10</v>
      </c>
      <c r="AR27" s="31">
        <v>0</v>
      </c>
      <c r="AS27" s="31">
        <v>2</v>
      </c>
      <c r="AT27" s="31">
        <v>37</v>
      </c>
      <c r="AU27" s="34"/>
    </row>
    <row r="28" spans="1:47" x14ac:dyDescent="0.25">
      <c r="A28" s="5">
        <v>5.5</v>
      </c>
      <c r="B28" s="5">
        <v>3.3</v>
      </c>
      <c r="C28" s="5">
        <v>1.7</v>
      </c>
      <c r="D28" s="5">
        <v>0.5</v>
      </c>
      <c r="E28" s="5" t="s">
        <v>5</v>
      </c>
      <c r="G28">
        <f t="shared" si="6"/>
        <v>6.8999999999999906</v>
      </c>
      <c r="J28">
        <f t="shared" si="0"/>
        <v>6.9499999999999904</v>
      </c>
      <c r="L28" s="31">
        <v>5.65</v>
      </c>
      <c r="M28" s="31" t="s">
        <v>9</v>
      </c>
      <c r="N28" s="31">
        <f>COUNTIFS(A2:A149, "&lt;5.65", E2:E149,"Iris-setosa")</f>
        <v>35</v>
      </c>
      <c r="O28" s="31">
        <f>COUNTIFS(A2:A149, "&lt;5.65", E2:E149,"Iris-versicolor")</f>
        <v>12</v>
      </c>
      <c r="P28" s="31">
        <f>COUNTIFS(A2:A149, "&lt;5.65", E2:E149,"Iris-virginica")</f>
        <v>7</v>
      </c>
      <c r="Q28" s="34">
        <f t="shared" ref="Q28" si="54">(1-POWER(N28/SUM(N28,O28,P28),2)-POWER(O28/SUM(N28,O28,P28),2)-POWER(P28/SUM(N28,O28,P28),2))*SUM(N28,O28,P28)/120+(1-POWER(N29/SUM(N29,O29,P29),2)-POWER(O29/SUM(N29,O29,P29),2)-POWER(P29/SUM(N29,O29,P29),2))*SUM(N29,O29,P29)/120</f>
        <v>0.54152637485970812</v>
      </c>
      <c r="V28" s="31">
        <v>3.45</v>
      </c>
      <c r="W28" s="31" t="s">
        <v>9</v>
      </c>
      <c r="X28" s="31">
        <f>COUNTIFS(B2:B149, "&lt; 3.45", E2:E149,"Iris-setosa")</f>
        <v>19</v>
      </c>
      <c r="Y28" s="31">
        <f>COUNTIFS(B2:B149, "&lt; 3.45", E2:E149,"Iris-versicolor")</f>
        <v>40</v>
      </c>
      <c r="Z28" s="31">
        <f>COUNTIFS(B2:B149, "&lt; 3.45", E2:E149,"Iris-virginica")</f>
        <v>39</v>
      </c>
      <c r="AA28" s="34">
        <f t="shared" ref="AA28" si="55">(1-POWER(X28/SUM(X28,Y28,Z28),2)-POWER(Y28/SUM(X28,Y28,Z28),2)-POWER(Z28/SUM(X28,Y28,Z28),2))*SUM(X28,Y28,Z28)/120+(1-POWER(X29/SUM(X29,Y29,Z29),2)-POWER(Y29/SUM(X29,Y29,Z29),2)-POWER(Z29/SUM(X29,Y29,Z29),2))*SUM(X29,Y29,Z29)/120</f>
        <v>0.53648732220160789</v>
      </c>
      <c r="AC28">
        <f t="shared" si="47"/>
        <v>4.9999999999999982</v>
      </c>
      <c r="AD28">
        <f t="shared" si="2"/>
        <v>5.049999999999998</v>
      </c>
      <c r="AF28" s="31">
        <v>3.75</v>
      </c>
      <c r="AG28" s="31" t="s">
        <v>9</v>
      </c>
      <c r="AH28" s="31">
        <f>COUNTIFS(C2:C149, "&lt; 3.75", E2:E149,"Iris-setosa")</f>
        <v>40</v>
      </c>
      <c r="AI28" s="31">
        <f>COUNTIFS(C2:C149, "&lt; 3.75", E2:E149,"Iris-versicolor")</f>
        <v>5</v>
      </c>
      <c r="AJ28" s="31">
        <f>COUNTIFS(C2:C149, "&lt; 3.75", E2:E149,"Iris-virginica")</f>
        <v>0</v>
      </c>
      <c r="AK28" s="34">
        <f t="shared" ref="AK28" si="56">(1-POWER(AH28/SUM(AH28,AI28,AJ28),2)-POWER(AI28/SUM(AH28,AI28,AJ28),2)-POWER(AJ28/SUM(AH28,AI28,AJ28),2))*SUM(AH28,AI28,AJ28)/120+(1-POWER(AH29/SUM(AH29,AI29,AJ29),2)-POWER(AI29/SUM(AH29,AI29,AJ29),2)-POWER(AJ29/SUM(AH29,AI29,AJ29),2))*SUM(AH29,AI29,AJ29)/120</f>
        <v>0.38518518518518519</v>
      </c>
      <c r="AP28" s="31">
        <v>1.75</v>
      </c>
      <c r="AQ28" s="31" t="s">
        <v>9</v>
      </c>
      <c r="AR28" s="31">
        <f>COUNTIFS(D2:D121, "&lt; 1.75", E2:E121,"Iris-setosa")</f>
        <v>40</v>
      </c>
      <c r="AS28" s="31">
        <f>COUNTIFS(D2:D121, "&lt; 1.75", E2:E121,"Iris-versicolor")</f>
        <v>39</v>
      </c>
      <c r="AT28" s="31">
        <f>COUNTIFS(D2:D121, "&lt; 1.75", E2:E121,"Iris-virginica")</f>
        <v>4</v>
      </c>
      <c r="AU28" s="34">
        <f t="shared" ref="AU28" si="57">(1-POWER(AR28/SUM(AR28,AS28,AT28),2)-POWER(AS28/SUM(AR28,AS28,AT28),2)-POWER(AT28/SUM(AR28,AS28,AT28),2))*SUM(AR28,AS28,AT28)/120+(1-POWER(AR29/SUM(AR29,AS29,AT29),2)-POWER(AS29/SUM(AR29,AS29,AT29),2)-POWER(AT29/SUM(AR29,AS29,AT29),2))*SUM(AR29,AS29,AT29)/120</f>
        <v>0.39292304352545315</v>
      </c>
    </row>
    <row r="29" spans="1:47" x14ac:dyDescent="0.25">
      <c r="A29">
        <v>4.9000000000000004</v>
      </c>
      <c r="B29">
        <v>3.4</v>
      </c>
      <c r="C29">
        <v>1.5</v>
      </c>
      <c r="D29">
        <v>0.2</v>
      </c>
      <c r="E29" t="s">
        <v>5</v>
      </c>
      <c r="G29">
        <f t="shared" si="6"/>
        <v>6.9999999999999902</v>
      </c>
      <c r="J29">
        <f t="shared" si="0"/>
        <v>7.0499999999999901</v>
      </c>
      <c r="L29" s="31"/>
      <c r="M29" s="31" t="s">
        <v>10</v>
      </c>
      <c r="N29" s="31">
        <v>5</v>
      </c>
      <c r="O29" s="31">
        <v>28</v>
      </c>
      <c r="P29" s="31">
        <f>COUNTIFS(A2:A149, "&gt;=5.65", E2:E149,"Iris-virginica")</f>
        <v>33</v>
      </c>
      <c r="Q29" s="34"/>
      <c r="V29" s="31"/>
      <c r="W29" s="31" t="s">
        <v>10</v>
      </c>
      <c r="X29" s="31">
        <v>21</v>
      </c>
      <c r="Y29" s="31">
        <v>0</v>
      </c>
      <c r="Z29" s="31">
        <v>1</v>
      </c>
      <c r="AA29" s="34"/>
      <c r="AC29">
        <f t="shared" si="47"/>
        <v>5.0999999999999979</v>
      </c>
      <c r="AD29">
        <f t="shared" si="2"/>
        <v>5.1499999999999977</v>
      </c>
      <c r="AF29" s="31"/>
      <c r="AG29" s="31" t="s">
        <v>10</v>
      </c>
      <c r="AH29" s="31">
        <v>0</v>
      </c>
      <c r="AI29" s="31">
        <v>35</v>
      </c>
      <c r="AJ29" s="31">
        <v>40</v>
      </c>
      <c r="AK29" s="34"/>
      <c r="AP29" s="31"/>
      <c r="AQ29" s="31" t="s">
        <v>10</v>
      </c>
      <c r="AR29" s="31">
        <v>0</v>
      </c>
      <c r="AS29" s="31">
        <v>1</v>
      </c>
      <c r="AT29" s="31">
        <v>36</v>
      </c>
      <c r="AU29" s="34"/>
    </row>
    <row r="30" spans="1:47" x14ac:dyDescent="0.25">
      <c r="A30">
        <v>4.4000000000000004</v>
      </c>
      <c r="B30">
        <v>3.8</v>
      </c>
      <c r="C30">
        <v>1.9</v>
      </c>
      <c r="D30">
        <v>0.4</v>
      </c>
      <c r="E30" t="s">
        <v>5</v>
      </c>
      <c r="G30">
        <f t="shared" si="6"/>
        <v>7.0999999999999899</v>
      </c>
      <c r="J30">
        <f t="shared" si="0"/>
        <v>7.1499999999999897</v>
      </c>
      <c r="L30" s="31">
        <v>5.75</v>
      </c>
      <c r="M30" s="31" t="s">
        <v>9</v>
      </c>
      <c r="N30" s="31">
        <f>COUNTIFS(A2:A149, "&lt;5.75", E2:E149,"Iris-setosa")</f>
        <v>36</v>
      </c>
      <c r="O30" s="31">
        <f>COUNTIFS(A2:A149, "&lt;5.75", E2:E149,"Iris-versicolor")</f>
        <v>15</v>
      </c>
      <c r="P30" s="31">
        <f>COUNTIFS(A2:A149, "&lt;5.75", E2:E149,"Iris-virginica")</f>
        <v>9</v>
      </c>
      <c r="Q30" s="34">
        <f t="shared" ref="Q30" si="58">(1-POWER(N30/SUM(N30,O30,P30),2)-POWER(O30/SUM(N30,O30,P30),2)-POWER(P30/SUM(N30,O30,P30),2))*SUM(N30,O30,P30)/120+(1-POWER(N31/SUM(N31,O31,P31),2)-POWER(O31/SUM(N31,O31,P31),2)-POWER(P31/SUM(N31,O31,P31),2))*SUM(N31,O31,P31)/120</f>
        <v>0.55499999999999994</v>
      </c>
      <c r="V30" s="31">
        <v>3.55</v>
      </c>
      <c r="W30" s="31" t="s">
        <v>9</v>
      </c>
      <c r="X30" s="31">
        <f>COUNTIFS(B2:B149, "&lt; 3.55", E2:E149,"Iris-setosa")</f>
        <v>25</v>
      </c>
      <c r="Y30" s="31">
        <f>COUNTIFS(B2:B149, "&lt; 3.55", E2:E149,"Iris-versicolor")</f>
        <v>40</v>
      </c>
      <c r="Z30" s="31">
        <f>COUNTIFS(B2:B149, "&lt; 3.55", E2:E149,"Iris-virginica")</f>
        <v>39</v>
      </c>
      <c r="AA30" s="34">
        <f t="shared" ref="AA30" si="59">(1-POWER(X30/SUM(X30,Y30,Z30),2)-POWER(Y30/SUM(X30,Y30,Z30),2)-POWER(Z30/SUM(X30,Y30,Z30),2))*SUM(X30,Y30,Z30)/120+(1-POWER(X31/SUM(X31,Y31,Z31),2)-POWER(Y31/SUM(X31,Y31,Z31),2)-POWER(Z31/SUM(X31,Y31,Z31),2))*SUM(X31,Y31,Z31)/120</f>
        <v>0.58213141025641024</v>
      </c>
      <c r="AC30">
        <f t="shared" si="47"/>
        <v>5.1999999999999975</v>
      </c>
      <c r="AD30">
        <f t="shared" si="2"/>
        <v>5.2499999999999973</v>
      </c>
      <c r="AF30" s="31">
        <v>3.85</v>
      </c>
      <c r="AG30" s="31" t="s">
        <v>9</v>
      </c>
      <c r="AH30" s="31">
        <f>COUNTIFS(C2:C149, "&lt; 3.85", E2:E149,"Iris-setosa")</f>
        <v>40</v>
      </c>
      <c r="AI30" s="31">
        <f>COUNTIFS(C2:C149, "&lt; 3.85", E2:E149,"Iris-versicolor")</f>
        <v>5</v>
      </c>
      <c r="AJ30" s="31">
        <f>COUNTIFS(C2:C149, "&lt; 3.85", E2:E149,"Iris-virginica")</f>
        <v>0</v>
      </c>
      <c r="AK30" s="34">
        <f t="shared" ref="AK30" si="60">(1-POWER(AH30/SUM(AH30,AI30,AJ30),2)-POWER(AI30/SUM(AH30,AI30,AJ30),2)-POWER(AJ30/SUM(AH30,AI30,AJ30),2))*SUM(AH30,AI30,AJ30)/120+(1-POWER(AH31/SUM(AH31,AI31,AJ31),2)-POWER(AI31/SUM(AH31,AI31,AJ31),2)-POWER(AJ31/SUM(AH31,AI31,AJ31),2))*SUM(AH31,AI31,AJ31)/120</f>
        <v>0.38518518518518519</v>
      </c>
      <c r="AP30" s="31">
        <v>1.85</v>
      </c>
      <c r="AQ30" s="31" t="s">
        <v>9</v>
      </c>
      <c r="AR30" s="31">
        <v>40</v>
      </c>
      <c r="AS30" s="31">
        <f>COUNTIFS(D2:D121, "&lt; 1.85", E2:E121,"Iris-versicolor")</f>
        <v>40</v>
      </c>
      <c r="AT30" s="31">
        <f>COUNTIFS(D2:D121, "&lt; 1.85", E2:E121,"Iris-virginica")</f>
        <v>13</v>
      </c>
      <c r="AU30" s="34">
        <f t="shared" ref="AU30" si="61">(1-POWER(AR30/SUM(AR30,AS30,AT30),2)-POWER(AS30/SUM(AR30,AS30,AT30),2)-POWER(AT30/SUM(AR30,AS30,AT30),2))*SUM(AR30,AS30,AT30)/120+(1-POWER(AR31/SUM(AR31,AS31,AT31),2)-POWER(AS31/SUM(AR31,AS31,AT31),2)-POWER(AT31/SUM(AR31,AS31,AT31),2))*SUM(AR31,AS31,AT31)/120</f>
        <v>0.47311827956989233</v>
      </c>
    </row>
    <row r="31" spans="1:47" x14ac:dyDescent="0.25">
      <c r="A31">
        <v>5.0999999999999996</v>
      </c>
      <c r="B31">
        <v>3.8</v>
      </c>
      <c r="C31">
        <v>1.6</v>
      </c>
      <c r="D31">
        <v>0.2</v>
      </c>
      <c r="E31" t="s">
        <v>5</v>
      </c>
      <c r="G31">
        <f t="shared" si="6"/>
        <v>7.1999999999999895</v>
      </c>
      <c r="J31">
        <f t="shared" si="0"/>
        <v>7.2499999999999893</v>
      </c>
      <c r="L31" s="31"/>
      <c r="M31" s="31" t="s">
        <v>10</v>
      </c>
      <c r="N31" s="31">
        <v>4</v>
      </c>
      <c r="O31" s="31">
        <f>COUNTIFS(A2:A149, "&gt;=5.75", E2:E149,"Iris-versicolor")</f>
        <v>25</v>
      </c>
      <c r="P31" s="31">
        <f>COUNTIFS(A2:A149, "&gt;=5.75", E2:E149,"Iris-virginica")</f>
        <v>31</v>
      </c>
      <c r="Q31" s="34"/>
      <c r="V31" s="31"/>
      <c r="W31" s="31" t="s">
        <v>10</v>
      </c>
      <c r="X31" s="31">
        <v>15</v>
      </c>
      <c r="Y31" s="31">
        <v>0</v>
      </c>
      <c r="Z31" s="31">
        <v>1</v>
      </c>
      <c r="AA31" s="34"/>
      <c r="AC31">
        <f t="shared" si="47"/>
        <v>5.2999999999999972</v>
      </c>
      <c r="AD31">
        <f t="shared" si="2"/>
        <v>5.349999999999997</v>
      </c>
      <c r="AF31" s="31"/>
      <c r="AG31" s="31" t="s">
        <v>10</v>
      </c>
      <c r="AH31" s="31">
        <v>0</v>
      </c>
      <c r="AI31" s="31">
        <v>35</v>
      </c>
      <c r="AJ31" s="31">
        <v>40</v>
      </c>
      <c r="AK31" s="34"/>
      <c r="AP31" s="31"/>
      <c r="AQ31" s="31" t="s">
        <v>10</v>
      </c>
      <c r="AR31" s="31">
        <v>0</v>
      </c>
      <c r="AS31" s="31">
        <v>0</v>
      </c>
      <c r="AT31" s="31">
        <v>27</v>
      </c>
      <c r="AU31" s="34"/>
    </row>
    <row r="32" spans="1:47" x14ac:dyDescent="0.25">
      <c r="A32" s="5">
        <v>5</v>
      </c>
      <c r="B32" s="5">
        <v>2.5</v>
      </c>
      <c r="C32" s="5">
        <v>3</v>
      </c>
      <c r="D32" s="5">
        <v>1.1000000000000001</v>
      </c>
      <c r="E32" s="5" t="s">
        <v>6</v>
      </c>
      <c r="G32">
        <f t="shared" si="6"/>
        <v>7.2999999999999892</v>
      </c>
      <c r="J32">
        <f t="shared" si="0"/>
        <v>7.349999999999989</v>
      </c>
      <c r="L32" s="31">
        <v>5.85</v>
      </c>
      <c r="M32" s="31" t="s">
        <v>9</v>
      </c>
      <c r="N32" s="31">
        <f>COUNTIFS(A2:A149, "&lt;5.85", E2:E149,"Iris-setosa")</f>
        <v>36</v>
      </c>
      <c r="O32" s="31">
        <f>COUNTIFS(A2:A149, "&lt;5.85", E2:E149,"Iris-versicolor")</f>
        <v>18</v>
      </c>
      <c r="P32" s="31">
        <f>COUNTIFS(A2:A149, "&lt;5.85", E2:E149,"Iris-virginica")</f>
        <v>11</v>
      </c>
      <c r="Q32" s="34">
        <f t="shared" ref="Q32" si="62">(1-POWER(N32/SUM(N32,O32,P32),2)-POWER(O32/SUM(N32,O32,P32),2)-POWER(P32/SUM(N32,O32,P32),2))*SUM(N32,O32,P32)/120+(1-POWER(N33/SUM(N33,O33,P33),2)-POWER(O33/SUM(N33,O33,P33),2)-POWER(P33/SUM(N33,O33,P33),2))*SUM(N33,O33,P33)/120</f>
        <v>0.5736130536130537</v>
      </c>
      <c r="V32" s="31">
        <v>3.65</v>
      </c>
      <c r="W32" s="31" t="s">
        <v>9</v>
      </c>
      <c r="X32" s="31">
        <f>COUNTIFS(B2:B149, "&lt; 3.65", E2:E149,"Iris-setosa")</f>
        <v>27</v>
      </c>
      <c r="Y32" s="31">
        <f>COUNTIFS(B2:B149, "&lt; 3.65", E2:E149,"Iris-versicolor")</f>
        <v>40</v>
      </c>
      <c r="Z32" s="31">
        <f>COUNTIFS(B2:B149, "&lt; 3.65", E2:E149,"Iris-virginica")</f>
        <v>39</v>
      </c>
      <c r="AA32" s="34">
        <f t="shared" ref="AA32" si="63">(1-POWER(X32/SUM(X32,Y32,Z32),2)-POWER(Y32/SUM(X32,Y32,Z32),2)-POWER(Z32/SUM(X32,Y32,Z32),2))*SUM(X32,Y32,Z32)/120+(1-POWER(X33/SUM(X33,Y33,Z33),2)-POWER(Y33/SUM(X33,Y33,Z33),2)-POWER(Z33/SUM(X33,Y33,Z33),2))*SUM(X33,Y33,Z33)/120</f>
        <v>0.59613656783468105</v>
      </c>
      <c r="AC32">
        <f t="shared" si="47"/>
        <v>5.3999999999999968</v>
      </c>
      <c r="AD32">
        <f t="shared" si="2"/>
        <v>5.4499999999999966</v>
      </c>
      <c r="AF32" s="31">
        <v>3.95</v>
      </c>
      <c r="AG32" s="31" t="s">
        <v>9</v>
      </c>
      <c r="AH32" s="31">
        <f>COUNTIFS(C2:C149, "&lt; 3.95", E2:E149,"Iris-setosa")</f>
        <v>40</v>
      </c>
      <c r="AI32" s="31">
        <f>COUNTIFS(C2:C149, "&lt; 3.95", E2:E149,"Iris-versicolor")</f>
        <v>7</v>
      </c>
      <c r="AJ32" s="31">
        <f>COUNTIFS(C2:C149, "&lt; 3.95", E2:E149,"Iris-virginica")</f>
        <v>0</v>
      </c>
      <c r="AK32" s="34">
        <f t="shared" ref="AK32" si="64">(1-POWER(AH32/SUM(AH32,AI32,AJ32),2)-POWER(AI32/SUM(AH32,AI32,AJ32),2)-POWER(AJ32/SUM(AH32,AI32,AJ32),2))*SUM(AH32,AI32,AJ32)/120+(1-POWER(AH33/SUM(AH33,AI33,AJ33),2)-POWER(AI33/SUM(AH33,AI33,AJ33),2)-POWER(AJ33/SUM(AH33,AI33,AJ33),2))*SUM(AH33,AI33,AJ33)/120</f>
        <v>0.40066064315554262</v>
      </c>
      <c r="AP32" s="31">
        <v>1.95</v>
      </c>
      <c r="AQ32" s="31" t="s">
        <v>9</v>
      </c>
      <c r="AR32" s="31">
        <v>40</v>
      </c>
      <c r="AS32" s="31">
        <f>COUNTIFS(D2:D121, "&lt; 1.95", E2:E121,"Iris-versicolor")</f>
        <v>40</v>
      </c>
      <c r="AT32" s="31">
        <f>COUNTIFS(D2:D121, "&lt; 1.95", E2:E121,"Iris-virginica")</f>
        <v>17</v>
      </c>
      <c r="AU32" s="34">
        <f t="shared" ref="AU32" si="65">(1-POWER(AR32/SUM(AR32,AS32,AT32),2)-POWER(AS32/SUM(AR32,AS32,AT32),2)-POWER(AT32/SUM(AR32,AS32,AT32),2))*SUM(AR32,AS32,AT32)/120+(1-POWER(AR33/SUM(AR33,AS33,AT33),2)-POWER(AS33/SUM(AR33,AS33,AT33),2)-POWER(AT33/SUM(AR33,AS33,AT33),2))*SUM(AR33,AS33,AT33)/120</f>
        <v>0.50859106529209641</v>
      </c>
    </row>
    <row r="33" spans="1:47" x14ac:dyDescent="0.25">
      <c r="A33">
        <v>4.5</v>
      </c>
      <c r="B33">
        <v>3.5</v>
      </c>
      <c r="C33">
        <v>1.5</v>
      </c>
      <c r="D33">
        <v>0.2</v>
      </c>
      <c r="E33" t="s">
        <v>5</v>
      </c>
      <c r="G33">
        <f t="shared" si="6"/>
        <v>7.3999999999999888</v>
      </c>
      <c r="J33">
        <f t="shared" si="0"/>
        <v>7.4999999999999947</v>
      </c>
      <c r="L33" s="31"/>
      <c r="M33" s="31" t="s">
        <v>10</v>
      </c>
      <c r="N33" s="31">
        <f>50-46</f>
        <v>4</v>
      </c>
      <c r="O33" s="31">
        <f>COUNTIFS(A2:A149, "&gt;=5.85", E2:E149,"Iris-versicolor")</f>
        <v>22</v>
      </c>
      <c r="P33" s="31">
        <f>COUNTIFS(A2:A149, "&gt;=5.85", E2:E149,"Iris-virginica")</f>
        <v>29</v>
      </c>
      <c r="Q33" s="34"/>
      <c r="V33" s="31"/>
      <c r="W33" s="31" t="s">
        <v>10</v>
      </c>
      <c r="X33" s="31">
        <v>13</v>
      </c>
      <c r="Y33" s="31">
        <v>0</v>
      </c>
      <c r="Z33" s="31">
        <v>1</v>
      </c>
      <c r="AA33" s="34"/>
      <c r="AC33">
        <f t="shared" si="47"/>
        <v>5.4999999999999964</v>
      </c>
      <c r="AD33">
        <f t="shared" si="2"/>
        <v>5.5499999999999963</v>
      </c>
      <c r="AF33" s="31"/>
      <c r="AG33" s="31" t="s">
        <v>10</v>
      </c>
      <c r="AH33" s="31">
        <v>0</v>
      </c>
      <c r="AI33" s="31">
        <v>33</v>
      </c>
      <c r="AJ33" s="31">
        <v>40</v>
      </c>
      <c r="AK33" s="34"/>
      <c r="AP33" s="31"/>
      <c r="AQ33" s="31" t="s">
        <v>10</v>
      </c>
      <c r="AR33" s="31">
        <v>0</v>
      </c>
      <c r="AS33" s="31">
        <v>0</v>
      </c>
      <c r="AT33" s="31">
        <v>23</v>
      </c>
      <c r="AU33" s="34"/>
    </row>
    <row r="34" spans="1:47" x14ac:dyDescent="0.25">
      <c r="A34">
        <v>4.4000000000000004</v>
      </c>
      <c r="B34">
        <v>3.4</v>
      </c>
      <c r="C34">
        <v>1.4</v>
      </c>
      <c r="D34">
        <v>0.2</v>
      </c>
      <c r="E34" t="s">
        <v>5</v>
      </c>
      <c r="G34">
        <v>7.6</v>
      </c>
      <c r="J34">
        <f t="shared" si="0"/>
        <v>7.65</v>
      </c>
      <c r="L34" s="31">
        <v>5.95</v>
      </c>
      <c r="M34" s="31" t="s">
        <v>9</v>
      </c>
      <c r="N34" s="31">
        <f>COUNTIFS(A2:A149, "&lt;5.95", E2:E149,"Iris-setosa")</f>
        <v>36</v>
      </c>
      <c r="O34" s="31">
        <f>COUNTIFS(A2:A149, "&lt;5.95", E2:E149,"Iris-versicolor")</f>
        <v>19</v>
      </c>
      <c r="P34" s="31">
        <f>COUNTIFS(A2:A149, "&lt;5.95", E2:E149,"Iris-virginica")</f>
        <v>12</v>
      </c>
      <c r="Q34" s="34">
        <f t="shared" ref="Q34" si="66">(1-POWER(N34/SUM(N34,O34,P34),2)-POWER(O34/SUM(N34,O34,P34),2)-POWER(P34/SUM(N34,O34,P34),2))*SUM(N34,O34,P34)/120+(1-POWER(N35/SUM(N35,O35,P35),2)-POWER(O35/SUM(N35,O35,P35),2)-POWER(P35/SUM(N35,O35,P35),2))*SUM(N35,O35,P35)/120</f>
        <v>0.58086923871209972</v>
      </c>
      <c r="V34" s="31">
        <v>3.75</v>
      </c>
      <c r="W34" s="31" t="s">
        <v>9</v>
      </c>
      <c r="X34" s="31">
        <f>COUNTIFS(B2:B149, "&lt; 3.75", E2:E149,"Iris-setosa")</f>
        <v>30</v>
      </c>
      <c r="Y34" s="31">
        <f>COUNTIFS(B2:B149, "&lt; 3.75", E2:E149,"Iris-versicolor")</f>
        <v>40</v>
      </c>
      <c r="Z34" s="31">
        <f>COUNTIFS(B2:B149, "&lt; 3.75", E2:E149,"Iris-virginica")</f>
        <v>39</v>
      </c>
      <c r="AA34" s="34">
        <f t="shared" ref="AA34" si="67">(1-POWER(X34/SUM(X34,Y34,Z34),2)-POWER(Y34/SUM(X34,Y34,Z34),2)-POWER(Z34/SUM(X34,Y34,Z34),2))*SUM(X34,Y34,Z34)/120+(1-POWER(X35/SUM(X35,Y35,Z35),2)-POWER(Y35/SUM(X35,Y35,Z35),2)-POWER(Z35/SUM(X35,Y35,Z35),2))*SUM(X35,Y35,Z35)/120</f>
        <v>0.61606894634417564</v>
      </c>
      <c r="AC34">
        <f t="shared" si="47"/>
        <v>5.5999999999999961</v>
      </c>
      <c r="AD34">
        <f t="shared" si="2"/>
        <v>5.6499999999999959</v>
      </c>
      <c r="AF34" s="31">
        <v>4.05</v>
      </c>
      <c r="AG34" s="31" t="s">
        <v>9</v>
      </c>
      <c r="AH34" s="31">
        <f>COUNTIFS(C2:C149, "&lt; 4.05", E2:E149,"Iris-setosa")</f>
        <v>40</v>
      </c>
      <c r="AI34" s="31">
        <f>COUNTIFS(C2:C149, "&lt; 4.05", E2:E149,"Iris-versicolor")</f>
        <v>10</v>
      </c>
      <c r="AJ34" s="31">
        <f>COUNTIFS(C2:C149, "&lt; 4.05", E2:E149,"Iris-virginica")</f>
        <v>0</v>
      </c>
      <c r="AK34" s="34">
        <f t="shared" ref="AK34" si="68">(1-POWER(AH34/SUM(AH34,AI34,AJ34),2)-POWER(AI34/SUM(AH34,AI34,AJ34),2)-POWER(AJ34/SUM(AH34,AI34,AJ34),2))*SUM(AH34,AI34,AJ34)/120+(1-POWER(AH35/SUM(AH35,AI35,AJ35),2)-POWER(AI35/SUM(AH35,AI35,AJ35),2)-POWER(AJ35/SUM(AH35,AI35,AJ35),2))*SUM(AH35,AI35,AJ35)/120</f>
        <v>0.419047619047619</v>
      </c>
      <c r="AP34" s="31">
        <v>2.0499999999999998</v>
      </c>
      <c r="AQ34" s="31" t="s">
        <v>9</v>
      </c>
      <c r="AR34" s="31">
        <v>40</v>
      </c>
      <c r="AS34" s="31">
        <f>COUNTIFS(D2:D121, "&lt; 2.05", E2:E121,"Iris-versicolor")</f>
        <v>40</v>
      </c>
      <c r="AT34" s="31">
        <f>COUNTIFS(D2:D121, "&lt; 2.05", E2:E121,"Iris-virginica")</f>
        <v>22</v>
      </c>
      <c r="AU34" s="34">
        <f t="shared" ref="AU34" si="69">(1-POWER(AR34/SUM(AR34,AS34,AT34),2)-POWER(AS34/SUM(AR34,AS34,AT34),2)-POWER(AT34/SUM(AR34,AS34,AT34),2))*SUM(AR34,AS34,AT34)/120+(1-POWER(AR35/SUM(AR35,AS35,AT35),2)-POWER(AS35/SUM(AR35,AS35,AT35),2)-POWER(AT35/SUM(AR35,AS35,AT35),2))*SUM(AR35,AS35,AT35)/120</f>
        <v>0.5490196078431373</v>
      </c>
    </row>
    <row r="35" spans="1:47" x14ac:dyDescent="0.25">
      <c r="A35">
        <v>5</v>
      </c>
      <c r="B35">
        <v>4.0999999999999996</v>
      </c>
      <c r="C35">
        <v>1.5</v>
      </c>
      <c r="D35">
        <v>0.1</v>
      </c>
      <c r="E35" t="s">
        <v>5</v>
      </c>
      <c r="G35">
        <v>7.7</v>
      </c>
      <c r="J35">
        <f t="shared" si="0"/>
        <v>7.8000000000000007</v>
      </c>
      <c r="L35" s="31"/>
      <c r="M35" s="31" t="s">
        <v>10</v>
      </c>
      <c r="N35" s="31">
        <f>50-46</f>
        <v>4</v>
      </c>
      <c r="O35" s="31">
        <f>COUNTIFS(A2:A149, "&gt;=5.95", E2:E149,"Iris-versicolor")</f>
        <v>21</v>
      </c>
      <c r="P35" s="31">
        <f>COUNTIFS(A2:A149, "&gt;=5.95", E2:E149,"Iris-virginica")</f>
        <v>28</v>
      </c>
      <c r="Q35" s="34"/>
      <c r="V35" s="31"/>
      <c r="W35" s="31" t="s">
        <v>10</v>
      </c>
      <c r="X35" s="31">
        <v>10</v>
      </c>
      <c r="Y35" s="31">
        <v>0</v>
      </c>
      <c r="Z35" s="31">
        <v>1</v>
      </c>
      <c r="AA35" s="34"/>
      <c r="AC35">
        <f>AC34 + 0.1</f>
        <v>5.6999999999999957</v>
      </c>
      <c r="AD35">
        <f t="shared" si="2"/>
        <v>5.7499999999999956</v>
      </c>
      <c r="AF35" s="31"/>
      <c r="AG35" s="31" t="s">
        <v>10</v>
      </c>
      <c r="AH35" s="31">
        <v>0</v>
      </c>
      <c r="AI35" s="31">
        <v>30</v>
      </c>
      <c r="AJ35" s="31">
        <v>40</v>
      </c>
      <c r="AK35" s="34"/>
      <c r="AP35" s="31"/>
      <c r="AQ35" s="31" t="s">
        <v>10</v>
      </c>
      <c r="AR35" s="31">
        <v>0</v>
      </c>
      <c r="AS35" s="31">
        <v>0</v>
      </c>
      <c r="AT35" s="31">
        <v>18</v>
      </c>
      <c r="AU35" s="34"/>
    </row>
    <row r="36" spans="1:47" x14ac:dyDescent="0.25">
      <c r="A36" s="5">
        <v>5.0999999999999996</v>
      </c>
      <c r="B36" s="5">
        <v>2.7</v>
      </c>
      <c r="C36" s="5">
        <v>3.9</v>
      </c>
      <c r="D36" s="5">
        <v>1.4</v>
      </c>
      <c r="E36" s="5" t="s">
        <v>6</v>
      </c>
      <c r="G36">
        <v>7.9</v>
      </c>
      <c r="L36" s="31">
        <v>6.05</v>
      </c>
      <c r="M36" s="31" t="s">
        <v>9</v>
      </c>
      <c r="N36" s="31">
        <f>COUNTIFS(A2:A149, "&lt;6.05", E2:E149,"Iris-setosa")</f>
        <v>36</v>
      </c>
      <c r="O36" s="31">
        <f>COUNTIFS(A2:A149, "&lt;6.05", E2:E149,"Iris-versicolor")</f>
        <v>21</v>
      </c>
      <c r="P36" s="31">
        <f>COUNTIFS(A2:A149, "&lt;6.05", E2:E149,"Iris-virginica")</f>
        <v>14</v>
      </c>
      <c r="Q36" s="34">
        <f t="shared" ref="Q36" si="70">(1-POWER(N36/SUM(N36,O36,P36),2)-POWER(O36/SUM(N36,O36,P36),2)-POWER(P36/SUM(N36,O36,P36),2))*SUM(N36,O36,P36)/120+(1-POWER(N37/SUM(N37,O37,P37),2)-POWER(O37/SUM(N37,O37,P37),2)-POWER(P37/SUM(N37,O37,P37),2))*SUM(N37,O37,P37)/120</f>
        <v>0.59404043307463827</v>
      </c>
      <c r="V36" s="31">
        <v>3.85</v>
      </c>
      <c r="W36" s="31" t="s">
        <v>9</v>
      </c>
      <c r="X36" s="31">
        <f>COUNTIFS(B2:B149, "&lt; 3.85", E2:E149,"Iris-setosa")</f>
        <v>34</v>
      </c>
      <c r="Y36" s="31">
        <f>COUNTIFS(B2:B149, "&lt; 3.85", E2:E149,"Iris-versicolor")</f>
        <v>40</v>
      </c>
      <c r="Z36" s="31">
        <f>COUNTIFS(B2:B149, "&lt; 3.85", E2:E149,"Iris-virginica")</f>
        <v>40</v>
      </c>
      <c r="AA36" s="34">
        <f t="shared" ref="AA36" si="71">(1-POWER(X36/SUM(X36,Y36,Z36),2)-POWER(Y36/SUM(X36,Y36,Z36),2)-POWER(Z36/SUM(X36,Y36,Z36),2))*SUM(X36,Y36,Z36)/120+(1-POWER(X37/SUM(X37,Y37,Z37),2)-POWER(Y37/SUM(X37,Y37,Z37),2)-POWER(Z37/SUM(X37,Y37,Z37),2))*SUM(X37,Y37,Z37)/120</f>
        <v>0.63157894736842113</v>
      </c>
      <c r="AC36">
        <f t="shared" si="47"/>
        <v>5.7999999999999954</v>
      </c>
      <c r="AD36">
        <f t="shared" si="2"/>
        <v>5.8499999999999952</v>
      </c>
      <c r="AF36" s="31">
        <v>4.1500000000000004</v>
      </c>
      <c r="AG36" s="31" t="s">
        <v>9</v>
      </c>
      <c r="AH36" s="31">
        <f>COUNTIFS(C2:C149, "&lt; 4.15", E2:E149,"Iris-setosa")</f>
        <v>40</v>
      </c>
      <c r="AI36" s="31">
        <f>COUNTIFS(C2:C149, "&lt; 4.15", E2:E149,"Iris-versicolor")</f>
        <v>12</v>
      </c>
      <c r="AJ36" s="31">
        <f>COUNTIFS(C2:C149, "&lt; 4.15", E2:E149,"Iris-virginica")</f>
        <v>0</v>
      </c>
      <c r="AK36" s="34">
        <f t="shared" ref="AK36" si="72">(1-POWER(AH36/SUM(AH36,AI36,AJ36),2)-POWER(AI36/SUM(AH36,AI36,AJ36),2)-POWER(AJ36/SUM(AH36,AI36,AJ36),2))*SUM(AH36,AI36,AJ36)/120+(1-POWER(AH37/SUM(AH37,AI37,AJ37),2)-POWER(AI37/SUM(AH37,AI37,AJ37),2)-POWER(AJ37/SUM(AH37,AI37,AJ37),2))*SUM(AH37,AI37,AJ37)/120</f>
        <v>0.42835595776772251</v>
      </c>
      <c r="AP36" s="31">
        <v>2.15</v>
      </c>
      <c r="AQ36" s="31" t="s">
        <v>9</v>
      </c>
      <c r="AR36" s="31">
        <v>40</v>
      </c>
      <c r="AS36" s="31">
        <f>COUNTIFS(D2:D121, "&lt; 2.15", E2:E121,"Iris-versicolor")</f>
        <v>40</v>
      </c>
      <c r="AT36" s="31">
        <f>COUNTIFS(D2:D121, "&lt; 2.15", E2:E121,"Iris-virginica")</f>
        <v>26</v>
      </c>
      <c r="AU36" s="34">
        <f t="shared" ref="AU36" si="73">(1-POWER(AR36/SUM(AR36,AS36,AT36),2)-POWER(AS36/SUM(AR36,AS36,AT36),2)-POWER(AT36/SUM(AR36,AS36,AT36),2))*SUM(AR36,AS36,AT36)/120+(1-POWER(AR37/SUM(AR37,AS37,AT37),2)-POWER(AS37/SUM(AR37,AS37,AT37),2)-POWER(AT37/SUM(AR37,AS37,AT37),2))*SUM(AR37,AS37,AT37)/120</f>
        <v>0.57861635220125784</v>
      </c>
    </row>
    <row r="37" spans="1:47" x14ac:dyDescent="0.25">
      <c r="A37">
        <v>4.8</v>
      </c>
      <c r="B37">
        <v>3.7</v>
      </c>
      <c r="C37">
        <v>1.5</v>
      </c>
      <c r="D37">
        <v>0.2</v>
      </c>
      <c r="E37" t="s">
        <v>5</v>
      </c>
      <c r="L37" s="31"/>
      <c r="M37" s="31" t="s">
        <v>10</v>
      </c>
      <c r="N37" s="31">
        <v>4</v>
      </c>
      <c r="O37" s="31">
        <f>COUNTIFS(A2:A149, "&gt;=6.05", E2:E149,"Iris-versicolor")</f>
        <v>19</v>
      </c>
      <c r="P37" s="31">
        <f>COUNTIFS(A2:A149, "&gt;=6.05", E2:E149,"Iris-virginica")</f>
        <v>26</v>
      </c>
      <c r="Q37" s="34"/>
      <c r="V37" s="31"/>
      <c r="W37" s="31" t="s">
        <v>10</v>
      </c>
      <c r="X37" s="31">
        <v>6</v>
      </c>
      <c r="Y37" s="31">
        <v>0</v>
      </c>
      <c r="Z37" s="31">
        <v>0</v>
      </c>
      <c r="AA37" s="34"/>
      <c r="AC37">
        <f t="shared" si="47"/>
        <v>5.899999999999995</v>
      </c>
      <c r="AD37">
        <f t="shared" si="2"/>
        <v>5.9499999999999948</v>
      </c>
      <c r="AF37" s="31"/>
      <c r="AG37" s="31" t="s">
        <v>10</v>
      </c>
      <c r="AH37" s="31">
        <v>0</v>
      </c>
      <c r="AI37" s="31">
        <v>28</v>
      </c>
      <c r="AJ37" s="31">
        <v>40</v>
      </c>
      <c r="AK37" s="34"/>
      <c r="AP37" s="31"/>
      <c r="AQ37" s="31" t="s">
        <v>10</v>
      </c>
      <c r="AR37" s="31">
        <v>0</v>
      </c>
      <c r="AS37" s="31">
        <v>0</v>
      </c>
      <c r="AT37" s="31">
        <v>14</v>
      </c>
      <c r="AU37" s="34"/>
    </row>
    <row r="38" spans="1:47" x14ac:dyDescent="0.25">
      <c r="A38">
        <v>5.0999999999999996</v>
      </c>
      <c r="B38">
        <v>3.9</v>
      </c>
      <c r="C38">
        <v>1.7</v>
      </c>
      <c r="D38">
        <v>0.4</v>
      </c>
      <c r="E38" t="s">
        <v>5</v>
      </c>
      <c r="L38" s="31">
        <v>6.15</v>
      </c>
      <c r="M38" s="31" t="s">
        <v>9</v>
      </c>
      <c r="N38" s="31">
        <f>COUNTIFS(A2:A149, "&lt;6.15", E2:E149,"Iris-setosa")</f>
        <v>37</v>
      </c>
      <c r="O38" s="31">
        <f>COUNTIFS(A2:A149, "&lt;6.15", E2:E149,"Iris-versicolor")</f>
        <v>23</v>
      </c>
      <c r="P38" s="31">
        <f>COUNTIFS(A2:A149, "&lt;6.15", E2:E149,"Iris-virginica")</f>
        <v>16</v>
      </c>
      <c r="Q38" s="34">
        <f t="shared" ref="Q38" si="74">(1-POWER(N38/SUM(N38,O38,P38),2)-POWER(O38/SUM(N38,O38,P38),2)-POWER(P38/SUM(N38,O38,P38),2))*SUM(N38,O38,P38)/120+(1-POWER(N39/SUM(N39,O39,P39),2)-POWER(O39/SUM(N39,O39,P39),2)-POWER(P39/SUM(N39,O39,P39),2))*SUM(N39,O39,P39)/120</f>
        <v>0.59828548644338131</v>
      </c>
      <c r="V38" s="31">
        <v>3.95</v>
      </c>
      <c r="W38" s="31" t="s">
        <v>9</v>
      </c>
      <c r="X38" s="31">
        <f>COUNTIFS(B2:B149, "&lt; 3.95", E2:E149,"Iris-setosa")</f>
        <v>36</v>
      </c>
      <c r="Y38" s="31">
        <f>COUNTIFS(B2:B149, "&lt; 3.95", E2:E149,"Iris-versicolor")</f>
        <v>40</v>
      </c>
      <c r="Z38" s="31">
        <f>COUNTIFS(B2:B149, "&lt; 3.95", E2:E149,"Iris-virginica")</f>
        <v>40</v>
      </c>
      <c r="AA38" s="34">
        <f t="shared" ref="AA38" si="75">(1-POWER(X38/SUM(X38,Y38,Z38),2)-POWER(Y38/SUM(X38,Y38,Z38),2)-POWER(Z38/SUM(X38,Y38,Z38),2))*SUM(X38,Y38,Z38)/120+(1-POWER(X39/SUM(X39,Y39,Z39),2)-POWER(Y39/SUM(X39,Y39,Z39),2)-POWER(Z39/SUM(X39,Y39,Z39),2))*SUM(X39,Y39,Z39)/120</f>
        <v>0.64367816091954011</v>
      </c>
      <c r="AC38">
        <f t="shared" si="47"/>
        <v>5.9999999999999947</v>
      </c>
      <c r="AD38">
        <f t="shared" si="2"/>
        <v>6.0499999999999945</v>
      </c>
      <c r="AF38" s="31">
        <v>4.25</v>
      </c>
      <c r="AG38" s="31" t="s">
        <v>9</v>
      </c>
      <c r="AH38" s="31">
        <f>COUNTIFS(C2:C149, "&lt; 4.25", E2:E149,"Iris-setosa")</f>
        <v>40</v>
      </c>
      <c r="AI38" s="31">
        <f>COUNTIFS(C2:C149, "&lt; 4.25", E2:E149,"Iris-versicolor")</f>
        <v>15</v>
      </c>
      <c r="AJ38" s="31">
        <f>COUNTIFS(C2:C149, "&lt; 4.25", E2:E149,"Iris-virginica")</f>
        <v>0</v>
      </c>
      <c r="AK38" s="34">
        <f t="shared" ref="AK38" si="76">(1-POWER(AH38/SUM(AH38,AI38,AJ38),2)-POWER(AI38/SUM(AH38,AI38,AJ38),2)-POWER(AJ38/SUM(AH38,AI38,AJ38),2))*SUM(AH38,AI38,AJ38)/120+(1-POWER(AH39/SUM(AH39,AI39,AJ39),2)-POWER(AI39/SUM(AH39,AI39,AJ39),2)-POWER(AJ39/SUM(AH39,AI39,AJ39),2))*SUM(AH39,AI39,AJ39)/120</f>
        <v>0.43822843822843821</v>
      </c>
      <c r="AP38" s="31">
        <v>2.25</v>
      </c>
      <c r="AQ38" s="31" t="s">
        <v>9</v>
      </c>
      <c r="AR38" s="31">
        <v>40</v>
      </c>
      <c r="AS38" s="31">
        <f>COUNTIFS(D2:D121, "&lt; 2.25", E2:E121,"Iris-versicolor")</f>
        <v>40</v>
      </c>
      <c r="AT38" s="31">
        <f>COUNTIFS(D2:D121, "&lt; 2.25", E2:E121,"Iris-virginica")</f>
        <v>28</v>
      </c>
      <c r="AU38" s="34">
        <f t="shared" ref="AU38" si="77">(1-POWER(AR38/SUM(AR38,AS38,AT38),2)-POWER(AS38/SUM(AR38,AS38,AT38),2)-POWER(AT38/SUM(AR38,AS38,AT38),2))*SUM(AR38,AS38,AT38)/120+(1-POWER(AR39/SUM(AR39,AS39,AT39),2)-POWER(AS39/SUM(AR39,AS39,AT39),2)-POWER(AT39/SUM(AR39,AS39,AT39),2))*SUM(AR39,AS39,AT39)/120</f>
        <v>0.59259259259259267</v>
      </c>
    </row>
    <row r="39" spans="1:47" x14ac:dyDescent="0.25">
      <c r="A39">
        <v>4.5999999999999996</v>
      </c>
      <c r="B39">
        <v>3.7</v>
      </c>
      <c r="C39">
        <v>1.5</v>
      </c>
      <c r="D39">
        <v>0.2</v>
      </c>
      <c r="E39" t="s">
        <v>5</v>
      </c>
      <c r="L39" s="31"/>
      <c r="M39" s="31" t="s">
        <v>10</v>
      </c>
      <c r="N39" s="31">
        <v>3</v>
      </c>
      <c r="O39" s="31">
        <f>COUNTIFS(A2:A149, "&gt;=6.15", E2:E149,"Iris-versicolor")</f>
        <v>17</v>
      </c>
      <c r="P39" s="31">
        <f>COUNTIFS(A2:A149, "&gt;=6.15", E2:E149,"Iris-virginica")</f>
        <v>24</v>
      </c>
      <c r="Q39" s="34"/>
      <c r="V39" s="31"/>
      <c r="W39" s="31" t="s">
        <v>10</v>
      </c>
      <c r="X39" s="31">
        <v>4</v>
      </c>
      <c r="Y39" s="31">
        <v>0</v>
      </c>
      <c r="Z39" s="31">
        <v>0</v>
      </c>
      <c r="AA39" s="34"/>
      <c r="AC39">
        <f t="shared" si="47"/>
        <v>6.0999999999999943</v>
      </c>
      <c r="AD39">
        <f t="shared" si="2"/>
        <v>6.2499999999999973</v>
      </c>
      <c r="AF39" s="31"/>
      <c r="AG39" s="31" t="s">
        <v>10</v>
      </c>
      <c r="AH39" s="31">
        <v>0</v>
      </c>
      <c r="AI39" s="31">
        <v>25</v>
      </c>
      <c r="AJ39" s="31">
        <v>40</v>
      </c>
      <c r="AK39" s="34"/>
      <c r="AP39" s="31"/>
      <c r="AQ39" s="31" t="s">
        <v>10</v>
      </c>
      <c r="AR39" s="31">
        <v>0</v>
      </c>
      <c r="AS39" s="31">
        <v>0</v>
      </c>
      <c r="AT39" s="31">
        <v>12</v>
      </c>
      <c r="AU39" s="34"/>
    </row>
    <row r="40" spans="1:47" x14ac:dyDescent="0.25">
      <c r="A40">
        <v>5.3</v>
      </c>
      <c r="B40">
        <v>3.9</v>
      </c>
      <c r="C40">
        <v>1.3</v>
      </c>
      <c r="D40">
        <v>0.4</v>
      </c>
      <c r="E40" t="s">
        <v>5</v>
      </c>
      <c r="L40" s="31">
        <v>6.25</v>
      </c>
      <c r="M40" s="31" t="s">
        <v>9</v>
      </c>
      <c r="N40" s="31">
        <f>COUNTIFS(A2:A149, "&lt;6.25", E2:E149,"Iris-setosa")</f>
        <v>37</v>
      </c>
      <c r="O40" s="31">
        <f>COUNTIFS(A2:A149, "&lt;6.25", E2:E149,"Iris-versicolor")</f>
        <v>24</v>
      </c>
      <c r="P40" s="31">
        <f>COUNTIFS(A2:A149, "&lt;6.25", E2:E149,"Iris-virginica")</f>
        <v>19</v>
      </c>
      <c r="Q40" s="34">
        <f t="shared" ref="Q40" si="78">(1-POWER(N40/SUM(N40,O40,P40),2)-POWER(O40/SUM(N40,O40,P40),2)-POWER(P40/SUM(N40,O40,P40),2))*SUM(N40,O40,P40)/120+(1-POWER(N41/SUM(N41,O41,P41),2)-POWER(O41/SUM(N41,O41,P41),2)-POWER(P41/SUM(N41,O41,P41),2))*SUM(N41,O41,P41)/120</f>
        <v>0.61270833333333341</v>
      </c>
      <c r="V40" s="31">
        <v>4.05</v>
      </c>
      <c r="W40" s="31" t="s">
        <v>9</v>
      </c>
      <c r="X40" s="31">
        <f>COUNTIFS(B2:B149, "&lt; 4.05", E2:E149,"Iris-setosa")</f>
        <v>37</v>
      </c>
      <c r="Y40" s="31">
        <f>COUNTIFS(B2:B149, "&lt; 4.05", E2:E149,"Iris-versicolor")</f>
        <v>40</v>
      </c>
      <c r="Z40" s="31">
        <f>COUNTIFS(B2:B149, "&lt; 4.05", E2:E149,"Iris-virginica")</f>
        <v>40</v>
      </c>
      <c r="AA40" s="34">
        <f t="shared" ref="AA40" si="79">(1-POWER(X40/SUM(X40,Y40,Z40),2)-POWER(Y40/SUM(X40,Y40,Z40),2)-POWER(Z40/SUM(X40,Y40,Z40),2))*SUM(X40,Y40,Z40)/120+(1-POWER(X41/SUM(X41,Y41,Z41),2)-POWER(Y41/SUM(X41,Y41,Z41),2)-POWER(Z41/SUM(X41,Y41,Z41),2))*SUM(X41,Y41,Z41)/120</f>
        <v>0.64957264957264949</v>
      </c>
      <c r="AC40">
        <v>6.4</v>
      </c>
      <c r="AD40">
        <f t="shared" si="2"/>
        <v>6.5</v>
      </c>
      <c r="AF40" s="31">
        <v>4.3499999999999996</v>
      </c>
      <c r="AG40" s="31" t="s">
        <v>9</v>
      </c>
      <c r="AH40" s="31">
        <v>40</v>
      </c>
      <c r="AI40" s="31">
        <f>COUNTIFS(C2:C149, "&lt; 4.35", E2:E149,"Iris-versicolor")</f>
        <v>17</v>
      </c>
      <c r="AJ40" s="31">
        <f>COUNTIFS(C2:C149, "&lt; 4.35", E2:E149,"Iris-virginica")</f>
        <v>0</v>
      </c>
      <c r="AK40" s="34">
        <f t="shared" ref="AK40" si="80">(1-POWER(AH40/SUM(AH40,AI40,AJ40),2)-POWER(AI40/SUM(AH40,AI40,AJ40),2)-POWER(AJ40/SUM(AH40,AI40,AJ40),2))*SUM(AH40,AI40,AJ40)/120+(1-POWER(AH41/SUM(AH41,AI41,AJ41),2)-POWER(AI41/SUM(AH41,AI41,AJ41),2)-POWER(AJ41/SUM(AH41,AI41,AJ41),2))*SUM(AH41,AI41,AJ41)/120</f>
        <v>0.44221665274296856</v>
      </c>
      <c r="AP40" s="31">
        <v>2.35</v>
      </c>
      <c r="AQ40" s="31" t="s">
        <v>9</v>
      </c>
      <c r="AR40" s="31">
        <v>40</v>
      </c>
      <c r="AS40" s="31">
        <f>COUNTIFS(D2:D121, "&lt; 2.35", E2:E121,"Iris-versicolor")</f>
        <v>40</v>
      </c>
      <c r="AT40" s="31">
        <f>COUNTIFS(D2:D121, "&lt; 2.35", E2:E121,"Iris-virginica")</f>
        <v>35</v>
      </c>
      <c r="AU40" s="34">
        <f t="shared" ref="AU40" si="81">(1-POWER(AR40/SUM(AR40,AS40,AT40),2)-POWER(AS40/SUM(AR40,AS40,AT40),2)-POWER(AT40/SUM(AR40,AS40,AT40),2))*SUM(AR40,AS40,AT40)/120+(1-POWER(AR41/SUM(AR41,AS41,AT41),2)-POWER(AS41/SUM(AR41,AS41,AT41),2)-POWER(AT41/SUM(AR41,AS41,AT41),2))*SUM(AR41,AS41,AT41)/120</f>
        <v>0.63768115942028969</v>
      </c>
    </row>
    <row r="41" spans="1:47" x14ac:dyDescent="0.25">
      <c r="A41">
        <v>5</v>
      </c>
      <c r="B41">
        <v>3.4</v>
      </c>
      <c r="C41">
        <v>1.7</v>
      </c>
      <c r="D41">
        <v>0.2</v>
      </c>
      <c r="E41" t="s">
        <v>5</v>
      </c>
      <c r="L41" s="31"/>
      <c r="M41" s="31" t="s">
        <v>10</v>
      </c>
      <c r="N41" s="31">
        <v>3</v>
      </c>
      <c r="O41" s="31">
        <f>COUNTIFS(A2:A149, "&gt;=6.25", E2:E149,"Iris-versicolor")</f>
        <v>16</v>
      </c>
      <c r="P41" s="31">
        <f>COUNTIFS(A2:A149, "&gt;=6.25", E2:E149,"Iris-virginica")</f>
        <v>21</v>
      </c>
      <c r="Q41" s="34"/>
      <c r="V41" s="31"/>
      <c r="W41" s="31" t="s">
        <v>10</v>
      </c>
      <c r="X41" s="31">
        <v>3</v>
      </c>
      <c r="Y41" s="31">
        <v>0</v>
      </c>
      <c r="Z41" s="31">
        <v>0</v>
      </c>
      <c r="AA41" s="34"/>
      <c r="AC41">
        <v>6.6</v>
      </c>
      <c r="AD41">
        <f t="shared" si="2"/>
        <v>6.65</v>
      </c>
      <c r="AF41" s="31"/>
      <c r="AG41" s="31" t="s">
        <v>10</v>
      </c>
      <c r="AH41" s="31">
        <v>0</v>
      </c>
      <c r="AI41" s="31">
        <v>23</v>
      </c>
      <c r="AJ41" s="31">
        <v>40</v>
      </c>
      <c r="AK41" s="34"/>
      <c r="AP41" s="31"/>
      <c r="AQ41" s="31" t="s">
        <v>10</v>
      </c>
      <c r="AR41" s="31">
        <v>0</v>
      </c>
      <c r="AS41" s="31">
        <v>0</v>
      </c>
      <c r="AT41" s="31">
        <v>5</v>
      </c>
      <c r="AU41" s="34"/>
    </row>
    <row r="42" spans="1:47" x14ac:dyDescent="0.25">
      <c r="A42" s="5">
        <v>7</v>
      </c>
      <c r="B42" s="5">
        <v>3.4</v>
      </c>
      <c r="C42" s="5">
        <v>1.5</v>
      </c>
      <c r="D42" s="5">
        <v>0.4</v>
      </c>
      <c r="E42" s="5" t="s">
        <v>5</v>
      </c>
      <c r="L42" s="31">
        <v>6.35</v>
      </c>
      <c r="M42" s="31" t="s">
        <v>9</v>
      </c>
      <c r="N42" s="31">
        <f>COUNTIFS(A2:A149, "&lt;6.35", E2:E149,"Iris-setosa")</f>
        <v>37</v>
      </c>
      <c r="O42" s="31">
        <f>COUNTIFS(A2:A149, "&lt;6.35", E2:E149,"Iris-versicolor")</f>
        <v>27</v>
      </c>
      <c r="P42" s="31">
        <f>COUNTIFS(A2:A149, "&lt;6.35", E2:E149,"Iris-virginica")</f>
        <v>23</v>
      </c>
      <c r="Q42" s="34">
        <f t="shared" ref="Q42" si="82">(1-POWER(N42/SUM(N42,O42,P42),2)-POWER(O42/SUM(N42,O42,P42),2)-POWER(P42/SUM(N42,O42,P42),2))*SUM(N42,O42,P42)/120+(1-POWER(N43/SUM(N43,O43,P43),2)-POWER(O43/SUM(N43,O43,P43),2)-POWER(P43/SUM(N43,O43,P43),2))*SUM(N43,O43,P43)/120</f>
        <v>0.63044235458028564</v>
      </c>
      <c r="V42" s="31">
        <v>4.1500000000000004</v>
      </c>
      <c r="W42" s="31" t="s">
        <v>9</v>
      </c>
      <c r="X42" s="31">
        <f>COUNTIFS(B2:B149, "&lt;4.15", E2:E149,"Iris-setosa")</f>
        <v>38</v>
      </c>
      <c r="Y42" s="31">
        <f>COUNTIFS(B2:B149, "&lt;4.15", E2:E149,"Iris-versicolor")</f>
        <v>40</v>
      </c>
      <c r="Z42" s="31">
        <f>COUNTIFS(B2:B149, "&lt;4.15", E2:E149,"Iris-virginica")</f>
        <v>40</v>
      </c>
      <c r="AA42" s="34">
        <f t="shared" ref="AA42" si="83">(1-POWER(X42/SUM(X42,Y42,Z42),2)-POWER(Y42/SUM(X42,Y42,Z42),2)-POWER(Z42/SUM(X42,Y42,Z42),2))*SUM(X42,Y42,Z42)/120+(1-POWER(X43/SUM(X43,Y43,Z43),2)-POWER(Y43/SUM(X43,Y43,Z43),2)-POWER(Z43/SUM(X43,Y43,Z43),2))*SUM(X43,Y43,Z43)/120</f>
        <v>0.65536723163841815</v>
      </c>
      <c r="AC42">
        <v>6.7</v>
      </c>
      <c r="AD42">
        <f t="shared" si="2"/>
        <v>6.8000000000000007</v>
      </c>
      <c r="AF42" s="31">
        <v>4.45</v>
      </c>
      <c r="AG42" s="31" t="s">
        <v>9</v>
      </c>
      <c r="AH42" s="31">
        <v>40</v>
      </c>
      <c r="AI42" s="31">
        <f>COUNTIFS(C2:C149, "&lt; 4.45", E2:E149,"Iris-versicolor")</f>
        <v>20</v>
      </c>
      <c r="AJ42" s="31">
        <f>COUNTIFS(C2:C149, "&lt; 4.45", E2:E149,"Iris-virginica")</f>
        <v>0</v>
      </c>
      <c r="AK42" s="34">
        <f t="shared" ref="AK42" si="84">(1-POWER(AH42/SUM(AH42,AI42,AJ42),2)-POWER(AI42/SUM(AH42,AI42,AJ42),2)-POWER(AJ42/SUM(AH42,AI42,AJ42),2))*SUM(AH42,AI42,AJ42)/120+(1-POWER(AH43/SUM(AH43,AI43,AJ43),2)-POWER(AI43/SUM(AH43,AI43,AJ43),2)-POWER(AJ43/SUM(AH43,AI43,AJ43),2))*SUM(AH43,AI43,AJ43)/120</f>
        <v>0.44444444444444442</v>
      </c>
      <c r="AP42" s="31">
        <v>2.4500000000000002</v>
      </c>
      <c r="AQ42" s="31" t="s">
        <v>9</v>
      </c>
      <c r="AR42" s="31">
        <v>40</v>
      </c>
      <c r="AS42" s="31">
        <f>COUNTIFS(D2:D121, "&lt; 2.45", E2:E121,"Iris-versicolor")</f>
        <v>40</v>
      </c>
      <c r="AT42" s="31">
        <f>COUNTIFS(D2:D121, "&lt; 2.45", E2:E121,"Iris-virginica")</f>
        <v>38</v>
      </c>
      <c r="AU42" s="34">
        <f t="shared" ref="AU42" si="85">(1-POWER(AR42/SUM(AR42,AS42,AT42),2)-POWER(AS42/SUM(AR42,AS42,AT42),2)-POWER(AT42/SUM(AR42,AS42,AT42),2))*SUM(AR42,AS42,AT42)/120+(1-POWER(AR43/SUM(AR43,AS43,AT43),2)-POWER(AS43/SUM(AR43,AS43,AT43),2)-POWER(AT43/SUM(AR43,AS43,AT43),2))*SUM(AR43,AS43,AT43)/120</f>
        <v>0.65536723163841815</v>
      </c>
    </row>
    <row r="43" spans="1:47" x14ac:dyDescent="0.25">
      <c r="A43">
        <v>6.4</v>
      </c>
      <c r="B43">
        <v>3</v>
      </c>
      <c r="C43">
        <v>4.5</v>
      </c>
      <c r="D43">
        <v>1.5</v>
      </c>
      <c r="E43" t="s">
        <v>6</v>
      </c>
      <c r="L43" s="31"/>
      <c r="M43" s="31" t="s">
        <v>10</v>
      </c>
      <c r="N43" s="31">
        <v>3</v>
      </c>
      <c r="O43" s="31">
        <f>COUNTIFS(A2:A149, "&gt;=6.35", E2:E149,"Iris-versicolor")</f>
        <v>13</v>
      </c>
      <c r="P43" s="31">
        <f>COUNTIFS(A2:A149, "&gt;=6.35", E2:E149,"Iris-virginica")</f>
        <v>17</v>
      </c>
      <c r="Q43" s="34"/>
      <c r="V43" s="31"/>
      <c r="W43" s="31" t="s">
        <v>10</v>
      </c>
      <c r="X43" s="31">
        <v>2</v>
      </c>
      <c r="Y43" s="31">
        <v>0</v>
      </c>
      <c r="Z43" s="31">
        <v>0</v>
      </c>
      <c r="AA43" s="34"/>
      <c r="AC43">
        <v>6.9</v>
      </c>
      <c r="AF43" s="31"/>
      <c r="AG43" s="31" t="s">
        <v>10</v>
      </c>
      <c r="AH43" s="31">
        <v>0</v>
      </c>
      <c r="AI43" s="31">
        <v>20</v>
      </c>
      <c r="AJ43" s="31">
        <v>40</v>
      </c>
      <c r="AK43" s="34"/>
      <c r="AP43" s="31"/>
      <c r="AQ43" s="31" t="s">
        <v>10</v>
      </c>
      <c r="AR43" s="31">
        <v>0</v>
      </c>
      <c r="AS43" s="31">
        <v>0</v>
      </c>
      <c r="AT43" s="31">
        <v>2</v>
      </c>
      <c r="AU43" s="34"/>
    </row>
    <row r="44" spans="1:47" x14ac:dyDescent="0.25">
      <c r="A44" s="5">
        <v>6.9</v>
      </c>
      <c r="B44" s="5">
        <v>4.2</v>
      </c>
      <c r="C44" s="5">
        <v>1.4</v>
      </c>
      <c r="D44" s="5">
        <v>0.2</v>
      </c>
      <c r="E44" s="5" t="s">
        <v>5</v>
      </c>
      <c r="L44" s="31">
        <v>6.45</v>
      </c>
      <c r="M44" s="31" t="s">
        <v>9</v>
      </c>
      <c r="N44" s="31">
        <f>COUNTIFS(A2:A149, "&lt;6.45", E2:E149,"Iris-setosa")</f>
        <v>37</v>
      </c>
      <c r="O44" s="31">
        <f>COUNTIFS(A2:A149, "&lt;6.45", E2:E149,"Iris-versicolor")</f>
        <v>31</v>
      </c>
      <c r="P44" s="31">
        <f>COUNTIFS(A2:A149, "&lt;6.45", E2:E149,"Iris-virginica")</f>
        <v>26</v>
      </c>
      <c r="Q44" s="34">
        <f t="shared" ref="Q44" si="86">(1-POWER(N44/SUM(N44,O44,P44),2)-POWER(O44/SUM(N44,O44,P44),2)-POWER(P44/SUM(N44,O44,P44),2))*SUM(N44,O44,P44)/120+(1-POWER(N45/SUM(N45,O45,P45),2)-POWER(O45/SUM(N45,O45,P45),2)-POWER(P45/SUM(N45,O45,P45),2))*SUM(N45,O45,P45)/120</f>
        <v>0.64184397163120566</v>
      </c>
      <c r="V44" s="31">
        <v>4.3</v>
      </c>
      <c r="W44" s="31" t="s">
        <v>9</v>
      </c>
      <c r="X44" s="31">
        <f>COUNTIFS(B2:B121, "&lt; 4.3", E2:E121,"Iris-setosa")</f>
        <v>39</v>
      </c>
      <c r="Y44" s="31">
        <f>COUNTIFS(B2:B149, "&lt; 4.3", E2:E149,"Iris-versicolor")</f>
        <v>40</v>
      </c>
      <c r="Z44" s="31">
        <f>COUNTIFS(B2:B149, "&lt; 4.3", E2:E149,"Iris-virginica")</f>
        <v>40</v>
      </c>
      <c r="AA44" s="34">
        <f t="shared" ref="AA44" si="87">(1-POWER(X44/SUM(X44,Y44,Z44),2)-POWER(Y44/SUM(X44,Y44,Z44),2)-POWER(Z44/SUM(X44,Y44,Z44),2))*SUM(X44,Y44,Z44)/120+(1-POWER(X45/SUM(X45,Y45,Z45),2)-POWER(Y45/SUM(X45,Y45,Z45),2)-POWER(Z45/SUM(X45,Y45,Z45),2))*SUM(X45,Y45,Z45)/120</f>
        <v>0.661064425770308</v>
      </c>
      <c r="AF44" s="31">
        <v>4.55</v>
      </c>
      <c r="AG44" s="31" t="s">
        <v>9</v>
      </c>
      <c r="AH44" s="31">
        <v>40</v>
      </c>
      <c r="AI44" s="31">
        <f>COUNTIFS(C2:C149, "&lt; 4.55", E2:E149,"Iris-versicolor")</f>
        <v>26</v>
      </c>
      <c r="AJ44" s="31">
        <f>COUNTIFS(C2:C149, "&lt; 4.55", E2:E149,"Iris-virginica")</f>
        <v>1</v>
      </c>
      <c r="AK44" s="34">
        <f t="shared" ref="AK44" si="88">(1-POWER(AH44/SUM(AH44,AI44,AJ44),2)-POWER(AI44/SUM(AH44,AI44,AJ44),2)-POWER(AJ44/SUM(AH44,AI44,AJ44),2))*SUM(AH44,AI44,AJ44)/120+(1-POWER(AH45/SUM(AH45,AI45,AJ45),2)-POWER(AI45/SUM(AH45,AI45,AJ45),2)-POWER(AJ45/SUM(AH45,AI45,AJ45),2))*SUM(AH45,AI45,AJ45)/120</f>
        <v>0.44682249131699997</v>
      </c>
    </row>
    <row r="45" spans="1:47" x14ac:dyDescent="0.25">
      <c r="A45" s="5">
        <v>5.5</v>
      </c>
      <c r="B45" s="5">
        <v>3.5</v>
      </c>
      <c r="C45" s="5">
        <v>1.3</v>
      </c>
      <c r="D45" s="5">
        <v>0.2</v>
      </c>
      <c r="E45" s="5" t="s">
        <v>5</v>
      </c>
      <c r="L45" s="31"/>
      <c r="M45" s="31" t="s">
        <v>10</v>
      </c>
      <c r="N45" s="31">
        <v>3</v>
      </c>
      <c r="O45" s="31">
        <f>COUNTIFS(A2:A149, "&gt;=6.45", E2:E149,"Iris-versicolor")</f>
        <v>9</v>
      </c>
      <c r="P45" s="31">
        <f>COUNTIFS(A2:A149, "&gt;=6.45", E2:E149,"Iris-virginica")</f>
        <v>14</v>
      </c>
      <c r="Q45" s="34"/>
      <c r="V45" s="31"/>
      <c r="W45" s="31" t="s">
        <v>10</v>
      </c>
      <c r="X45" s="31">
        <v>1</v>
      </c>
      <c r="Y45" s="31">
        <v>0</v>
      </c>
      <c r="Z45" s="31">
        <v>0</v>
      </c>
      <c r="AA45" s="34"/>
      <c r="AF45" s="31"/>
      <c r="AG45" s="31" t="s">
        <v>10</v>
      </c>
      <c r="AH45" s="31">
        <v>0</v>
      </c>
      <c r="AI45" s="31">
        <v>14</v>
      </c>
      <c r="AJ45" s="31">
        <v>39</v>
      </c>
      <c r="AK45" s="34"/>
    </row>
    <row r="46" spans="1:47" x14ac:dyDescent="0.25">
      <c r="A46">
        <v>5.6</v>
      </c>
      <c r="B46">
        <v>2.8</v>
      </c>
      <c r="C46">
        <v>4.9000000000000004</v>
      </c>
      <c r="D46">
        <v>2</v>
      </c>
      <c r="E46" t="s">
        <v>7</v>
      </c>
      <c r="L46" s="31">
        <v>6.55</v>
      </c>
      <c r="M46" s="31" t="s">
        <v>9</v>
      </c>
      <c r="N46" s="31">
        <f>COUNTIFS(A2:A149, "&lt;6.55", E2:E149,"Iris-setosa")</f>
        <v>37</v>
      </c>
      <c r="O46" s="31">
        <f>COUNTIFS(A2:A149, "&lt;6.55", E2:E149,"Iris-versicolor")</f>
        <v>31</v>
      </c>
      <c r="P46" s="31">
        <f>COUNTIFS(A2:A149, "&lt;6.55", E2:E149,"Iris-virginica")</f>
        <v>29</v>
      </c>
      <c r="Q46" s="34">
        <f t="shared" ref="Q46" si="89">(1-POWER(N46/SUM(N46,O46,P46),2)-POWER(O46/SUM(N46,O46,P46),2)-POWER(P46/SUM(N46,O46,P46),2))*SUM(N46,O46,P46)/120+(1-POWER(N47/SUM(N47,O47,P47),2)-POWER(O47/SUM(N47,O47,P47),2)-POWER(P47/SUM(N47,O47,P47),2))*SUM(N47,O47,P47)/120</f>
        <v>0.65112804422531012</v>
      </c>
      <c r="AF46" s="31">
        <v>4.6500000000000004</v>
      </c>
      <c r="AG46" s="31" t="s">
        <v>9</v>
      </c>
      <c r="AH46" s="31">
        <v>40</v>
      </c>
      <c r="AI46" s="31">
        <f>COUNTIFS(C2:C149, "&lt; 4.65", E2:E149,"Iris-versicolor")</f>
        <v>29</v>
      </c>
      <c r="AJ46" s="31">
        <f>COUNTIFS(C2:C149, "&lt; 4.65", E2:E149,"Iris-virginica")</f>
        <v>1</v>
      </c>
      <c r="AK46" s="34">
        <f t="shared" ref="AK46" si="90">(1-POWER(AH46/SUM(AH46,AI46,AJ46),2)-POWER(AI46/SUM(AH46,AI46,AJ46),2)-POWER(AJ46/SUM(AH46,AI46,AJ46),2))*SUM(AH46,AI46,AJ46)/120+(1-POWER(AH47/SUM(AH47,AI47,AJ47),2)-POWER(AI47/SUM(AH47,AI47,AJ47),2)-POWER(AJ47/SUM(AH47,AI47,AJ47),2))*SUM(AH47,AI47,AJ47)/120</f>
        <v>0.43561904761904757</v>
      </c>
    </row>
    <row r="47" spans="1:47" x14ac:dyDescent="0.25">
      <c r="A47" s="5">
        <v>6.7</v>
      </c>
      <c r="B47" s="5">
        <v>4.4000000000000004</v>
      </c>
      <c r="C47" s="5">
        <v>1.5</v>
      </c>
      <c r="D47" s="5">
        <v>0.4</v>
      </c>
      <c r="E47" s="5" t="s">
        <v>5</v>
      </c>
      <c r="L47" s="31"/>
      <c r="M47" s="31" t="s">
        <v>10</v>
      </c>
      <c r="N47" s="31">
        <v>3</v>
      </c>
      <c r="O47" s="31">
        <f>COUNTIFS(A2:A149, "&gt;=6.55", E2:E149,"Iris-versicolor")</f>
        <v>9</v>
      </c>
      <c r="P47" s="31">
        <f>COUNTIFS(A2:A149, "&gt;=6.55", E2:E149,"Iris-virginica")</f>
        <v>11</v>
      </c>
      <c r="Q47" s="34"/>
      <c r="AF47" s="31"/>
      <c r="AG47" s="31" t="s">
        <v>10</v>
      </c>
      <c r="AH47" s="31">
        <v>0</v>
      </c>
      <c r="AI47" s="31">
        <v>11</v>
      </c>
      <c r="AJ47" s="31">
        <v>39</v>
      </c>
      <c r="AK47" s="34"/>
      <c r="AS47" t="s">
        <v>22</v>
      </c>
      <c r="AT47">
        <f>MIN(AU2:AU42)</f>
        <v>0.33333333333333331</v>
      </c>
    </row>
    <row r="48" spans="1:47" x14ac:dyDescent="0.25">
      <c r="A48" s="5">
        <v>5.6</v>
      </c>
      <c r="B48" s="5">
        <v>3.8</v>
      </c>
      <c r="C48" s="5">
        <v>1.7</v>
      </c>
      <c r="D48" s="5">
        <v>0.3</v>
      </c>
      <c r="E48" s="5" t="s">
        <v>5</v>
      </c>
      <c r="L48" s="31">
        <v>6.65</v>
      </c>
      <c r="M48" s="31" t="s">
        <v>9</v>
      </c>
      <c r="N48" s="31">
        <f>COUNTIFS(A2:A149, "&lt;6.65", E2:E149,"Iris-setosa")</f>
        <v>37</v>
      </c>
      <c r="O48" s="31">
        <f>COUNTIFS(A2:A149, "&lt;6.65", E2:E149,"Iris-versicolor")</f>
        <v>32</v>
      </c>
      <c r="P48" s="31">
        <f>COUNTIFS(A2:A149, "&lt;6.65", E2:E149,"Iris-virginica")</f>
        <v>29</v>
      </c>
      <c r="Q48" s="34">
        <f t="shared" ref="Q48" si="91">(1-POWER(N48/SUM(N48,O48,P48),2)-POWER(O48/SUM(N48,O48,P48),2)-POWER(P48/SUM(N48,O48,P48),2))*SUM(N48,O48,P48)/120+(1-POWER(N49/SUM(N49,O49,P49),2)-POWER(O49/SUM(N49,O49,P49),2)-POWER(P49/SUM(N49,O49,P49),2))*SUM(N49,O49,P49)/120</f>
        <v>0.6515151515151516</v>
      </c>
      <c r="X48" t="s">
        <v>22</v>
      </c>
      <c r="Y48">
        <f>MIN(AA2:AA44)</f>
        <v>0.50591856060606066</v>
      </c>
      <c r="AF48" s="31">
        <v>4.75</v>
      </c>
      <c r="AG48" s="31" t="s">
        <v>9</v>
      </c>
      <c r="AH48" s="31">
        <f>COUNTIFS(C2:C149, "&lt; 4.75", E2:E149,"Iris-setosa")</f>
        <v>40</v>
      </c>
      <c r="AI48" s="31">
        <f>COUNTIFS(C2:C149, "&lt; 4.75", E2:E149,"Iris-versicolor")</f>
        <v>34</v>
      </c>
      <c r="AJ48" s="31">
        <f>COUNTIFS(C2:C149, "&lt; 4.75", E2:E149,"Iris-virginica")</f>
        <v>1</v>
      </c>
      <c r="AK48" s="34">
        <f t="shared" ref="AK48" si="92">(1-POWER(AH48/SUM(AH48,AI48,AJ48),2)-POWER(AI48/SUM(AH48,AI48,AJ48),2)-POWER(AJ48/SUM(AH48,AI48,AJ48),2))*SUM(AH48,AI48,AJ48)/120+(1-POWER(AH49/SUM(AH49,AI49,AJ49),2)-POWER(AI49/SUM(AH49,AI49,AJ49),2)-POWER(AJ49/SUM(AH49,AI49,AJ49),2))*SUM(AH49,AI49,AJ49)/120</f>
        <v>0.40533333333333321</v>
      </c>
    </row>
    <row r="49" spans="1:37" x14ac:dyDescent="0.25">
      <c r="A49">
        <v>5.8</v>
      </c>
      <c r="B49">
        <v>2.8</v>
      </c>
      <c r="C49">
        <v>4.5</v>
      </c>
      <c r="D49">
        <v>1.3</v>
      </c>
      <c r="E49" t="s">
        <v>6</v>
      </c>
      <c r="L49" s="31"/>
      <c r="M49" s="31" t="s">
        <v>10</v>
      </c>
      <c r="N49" s="31">
        <v>3</v>
      </c>
      <c r="O49" s="31">
        <f>COUNTIFS(A2:A149, "&gt;=6.65", E2:E149,"Iris-versicolor")</f>
        <v>8</v>
      </c>
      <c r="P49" s="31">
        <f>COUNTIFS(A2:A149, "&gt;=6.65", E2:E149,"Iris-virginica")</f>
        <v>11</v>
      </c>
      <c r="Q49" s="34"/>
      <c r="AF49" s="31"/>
      <c r="AG49" s="31" t="s">
        <v>10</v>
      </c>
      <c r="AH49" s="31">
        <v>0</v>
      </c>
      <c r="AI49" s="31">
        <v>6</v>
      </c>
      <c r="AJ49" s="31">
        <v>39</v>
      </c>
      <c r="AK49" s="34"/>
    </row>
    <row r="50" spans="1:37" x14ac:dyDescent="0.25">
      <c r="A50">
        <v>6.2</v>
      </c>
      <c r="B50">
        <v>2.6</v>
      </c>
      <c r="C50">
        <v>3.5</v>
      </c>
      <c r="D50">
        <v>1</v>
      </c>
      <c r="E50" t="s">
        <v>6</v>
      </c>
      <c r="L50" s="31">
        <v>6.75</v>
      </c>
      <c r="M50" s="31" t="s">
        <v>9</v>
      </c>
      <c r="N50" s="31">
        <f>COUNTIFS(A2:A149, "&lt;6.75", E2:E149,"Iris-setosa")</f>
        <v>38</v>
      </c>
      <c r="O50" s="31">
        <f>COUNTIFS(A2:A149, "&lt;6.75", E2:E149,"Iris-versicolor")</f>
        <v>35</v>
      </c>
      <c r="P50" s="31">
        <f>COUNTIFS(A2:A149, "&lt;6.75", E2:E149,"Iris-virginica")</f>
        <v>30</v>
      </c>
      <c r="Q50" s="34">
        <f t="shared" ref="Q50" si="93">(1-POWER(N50/SUM(N50,O50,P50),2)-POWER(O50/SUM(N50,O50,P50),2)-POWER(P50/SUM(N50,O50,P50),2))*SUM(N50,O50,P50)/120+(1-POWER(N51/SUM(N51,O51,P51),2)-POWER(O51/SUM(N51,O51,P51),2)-POWER(P51/SUM(N51,O51,P51),2))*SUM(N51,O51,P51)/120</f>
        <v>0.64801066057490964</v>
      </c>
      <c r="AF50" s="31">
        <v>4.8499999999999996</v>
      </c>
      <c r="AG50" s="31" t="s">
        <v>9</v>
      </c>
      <c r="AH50" s="31">
        <v>40</v>
      </c>
      <c r="AI50" s="31">
        <f>COUNTIFS(C2:C149, "&lt; 4.85", E2:E149,"Iris-versicolor")</f>
        <v>36</v>
      </c>
      <c r="AJ50" s="31">
        <f>COUNTIFS(C2:C149, "&lt; 4.85", E2:E149,"Iris-virginica")</f>
        <v>3</v>
      </c>
      <c r="AK50" s="34">
        <f t="shared" ref="AK50" si="94">(1-POWER(AH50/SUM(AH50,AI50,AJ50),2)-POWER(AI50/SUM(AH50,AI50,AJ50),2)-POWER(AJ50/SUM(AH50,AI50,AJ50),2))*SUM(AH50,AI50,AJ50)/120+(1-POWER(AH51/SUM(AH51,AI51,AJ51),2)-POWER(AI51/SUM(AH51,AI51,AJ51),2)-POWER(AJ51/SUM(AH51,AI51,AJ51),2))*SUM(AH51,AI51,AJ51)/120</f>
        <v>0.41206133580323151</v>
      </c>
    </row>
    <row r="51" spans="1:37" x14ac:dyDescent="0.25">
      <c r="A51">
        <v>5.6</v>
      </c>
      <c r="B51">
        <v>3</v>
      </c>
      <c r="C51">
        <v>4.2</v>
      </c>
      <c r="D51">
        <v>1.2</v>
      </c>
      <c r="E51" t="s">
        <v>6</v>
      </c>
      <c r="L51" s="31"/>
      <c r="M51" s="31" t="s">
        <v>10</v>
      </c>
      <c r="N51" s="31">
        <v>2</v>
      </c>
      <c r="O51" s="31">
        <f>COUNTIFS(A2:A149, "&gt;=6.75", E2:E149,"Iris-versicolor")</f>
        <v>5</v>
      </c>
      <c r="P51" s="31">
        <f>COUNTIFS(A2:A149, "&gt;=6.75", E2:E149,"Iris-virginica")</f>
        <v>10</v>
      </c>
      <c r="Q51" s="34"/>
      <c r="AF51" s="31"/>
      <c r="AG51" s="31" t="s">
        <v>10</v>
      </c>
      <c r="AH51" s="31">
        <v>0</v>
      </c>
      <c r="AI51" s="31">
        <v>4</v>
      </c>
      <c r="AJ51" s="31">
        <v>37</v>
      </c>
      <c r="AK51" s="34"/>
    </row>
    <row r="52" spans="1:37" x14ac:dyDescent="0.25">
      <c r="A52">
        <v>5.9</v>
      </c>
      <c r="B52">
        <v>2.9</v>
      </c>
      <c r="C52">
        <v>4.2</v>
      </c>
      <c r="D52">
        <v>1.3</v>
      </c>
      <c r="E52" t="s">
        <v>6</v>
      </c>
      <c r="L52" s="31">
        <v>6.85</v>
      </c>
      <c r="M52" s="31" t="s">
        <v>9</v>
      </c>
      <c r="N52" s="31">
        <f>COUNTIFS(A2:A149, "&lt;6.85", E2:E149,"Iris-setosa")</f>
        <v>38</v>
      </c>
      <c r="O52" s="31">
        <f>COUNTIFS(A2:A149, "&lt;6.85", E2:E149,"Iris-versicolor")</f>
        <v>36</v>
      </c>
      <c r="P52" s="31">
        <f>COUNTIFS(A2:A149, "&lt;6.85", E2:E149,"Iris-virginica")</f>
        <v>31</v>
      </c>
      <c r="Q52" s="34">
        <f t="shared" ref="Q52" si="95">(1-POWER(N52/SUM(N52,O52,P52),2)-POWER(O52/SUM(N52,O52,P52),2)-POWER(P52/SUM(N52,O52,P52),2))*SUM(N52,O52,P52)/120+(1-POWER(N53/SUM(N53,O53,P53),2)-POWER(O53/SUM(N53,O53,P53),2)-POWER(P53/SUM(N53,O53,P53),2))*SUM(N53,O53,P53)/120</f>
        <v>0.65015873015873027</v>
      </c>
      <c r="AF52" s="31">
        <v>4.95</v>
      </c>
      <c r="AG52" s="31" t="s">
        <v>9</v>
      </c>
      <c r="AH52" s="31">
        <v>40</v>
      </c>
      <c r="AI52" s="31">
        <f>COUNTIFS(C2:C149, "&lt; 4.95", E2:E149,"Iris-versicolor")</f>
        <v>38</v>
      </c>
      <c r="AJ52" s="31">
        <f>COUNTIFS(C2:C149, "&lt; 4.95", E2:E149,"Iris-virginica")</f>
        <v>6</v>
      </c>
      <c r="AK52" s="34">
        <f t="shared" ref="AK52" si="96">(1-POWER(AH52/SUM(AH52,AI52,AJ52),2)-POWER(AI52/SUM(AH52,AI52,AJ52),2)-POWER(AJ52/SUM(AH52,AI52,AJ52),2))*SUM(AH52,AI52,AJ52)/120+(1-POWER(AH53/SUM(AH53,AI53,AJ53),2)-POWER(AI53/SUM(AH53,AI53,AJ53),2)-POWER(AJ53/SUM(AH53,AI53,AJ53),2))*SUM(AH53,AI53,AJ53)/120</f>
        <v>0.42592592592592604</v>
      </c>
    </row>
    <row r="53" spans="1:37" x14ac:dyDescent="0.25">
      <c r="A53">
        <v>6.1</v>
      </c>
      <c r="B53">
        <v>2.8</v>
      </c>
      <c r="C53">
        <v>4.0999999999999996</v>
      </c>
      <c r="D53">
        <v>1.3</v>
      </c>
      <c r="E53" t="s">
        <v>6</v>
      </c>
      <c r="L53" s="31"/>
      <c r="M53" s="31" t="s">
        <v>10</v>
      </c>
      <c r="N53" s="31">
        <v>2</v>
      </c>
      <c r="O53" s="31">
        <f>COUNTIFS(A2:A149, "&gt;=6.85", E2:E149,"Iris-versicolor")</f>
        <v>4</v>
      </c>
      <c r="P53" s="31">
        <f>COUNTIFS(A2:A149, "&gt;=6.85", E2:E149,"Iris-virginica")</f>
        <v>9</v>
      </c>
      <c r="Q53" s="34"/>
      <c r="AF53" s="31"/>
      <c r="AG53" s="31" t="s">
        <v>10</v>
      </c>
      <c r="AH53" s="31">
        <v>0</v>
      </c>
      <c r="AI53" s="31">
        <v>2</v>
      </c>
      <c r="AJ53" s="31">
        <v>34</v>
      </c>
      <c r="AK53" s="34"/>
    </row>
    <row r="54" spans="1:37" x14ac:dyDescent="0.25">
      <c r="A54">
        <v>6.3</v>
      </c>
      <c r="B54">
        <v>2.5</v>
      </c>
      <c r="C54">
        <v>5</v>
      </c>
      <c r="D54">
        <v>2</v>
      </c>
      <c r="E54" t="s">
        <v>7</v>
      </c>
      <c r="L54" s="31">
        <v>6.95</v>
      </c>
      <c r="M54" s="31" t="s">
        <v>9</v>
      </c>
      <c r="N54" s="31">
        <f>COUNTIFS(A2:A149, "&lt;6.95", E2:E149,"Iris-setosa")</f>
        <v>39</v>
      </c>
      <c r="O54" s="31">
        <f>COUNTIFS(A2:A149, "&lt;6.95", E2:E149,"Iris-versicolor")</f>
        <v>37</v>
      </c>
      <c r="P54" s="31">
        <f>COUNTIFS(A2:A149, "&lt;6.95", E2:E149,"Iris-virginica")</f>
        <v>31</v>
      </c>
      <c r="Q54" s="34">
        <f t="shared" ref="Q54" si="97">(1-POWER(N54/SUM(N54,O54,P54),2)-POWER(O54/SUM(N54,O54,P54),2)-POWER(P54/SUM(N54,O54,P54),2))*SUM(N54,O54,P54)/120+(1-POWER(N55/SUM(N55,O55,P55),2)-POWER(O55/SUM(N55,O55,P55),2)-POWER(P55/SUM(N55,O55,P55),2))*SUM(N55,O55,P55)/120</f>
        <v>0.64174454828660443</v>
      </c>
      <c r="AF54" s="31">
        <v>5.05</v>
      </c>
      <c r="AG54" s="31" t="s">
        <v>9</v>
      </c>
      <c r="AH54" s="31">
        <v>40</v>
      </c>
      <c r="AI54" s="31">
        <f>COUNTIFS(C2:C149, "&lt; 5.05", E2:E149,"Iris-versicolor")</f>
        <v>39</v>
      </c>
      <c r="AJ54" s="31">
        <f>COUNTIFS(C2:C149, "&lt; 5.05", E2:E149,"Iris-virginica")</f>
        <v>9</v>
      </c>
      <c r="AK54" s="34">
        <f t="shared" ref="AK54" si="98">(1-POWER(AH54/SUM(AH54,AI54,AJ54),2)-POWER(AI54/SUM(AH54,AI54,AJ54),2)-POWER(AJ54/SUM(AH54,AI54,AJ54),2))*SUM(AH54,AI54,AJ54)/120+(1-POWER(AH55/SUM(AH55,AI55,AJ55),2)-POWER(AI55/SUM(AH55,AI55,AJ55),2)-POWER(AJ55/SUM(AH55,AI55,AJ55),2))*SUM(AH55,AI55,AJ55)/120</f>
        <v>0.44625946969696967</v>
      </c>
    </row>
    <row r="55" spans="1:37" x14ac:dyDescent="0.25">
      <c r="A55" s="5">
        <v>6.1</v>
      </c>
      <c r="B55" s="5">
        <v>4</v>
      </c>
      <c r="C55" s="5">
        <v>1.2</v>
      </c>
      <c r="D55" s="5">
        <v>0.2</v>
      </c>
      <c r="E55" s="5" t="s">
        <v>5</v>
      </c>
      <c r="L55" s="31"/>
      <c r="M55" s="31" t="s">
        <v>10</v>
      </c>
      <c r="N55" s="31">
        <v>1</v>
      </c>
      <c r="O55" s="31">
        <f>COUNTIFS(A2:A149, "&gt;=6.95", E2:E149,"Iris-versicolor")</f>
        <v>3</v>
      </c>
      <c r="P55" s="31">
        <f>COUNTIFS(A2:A149, "&gt;=6.95", E2:E149,"Iris-virginica")</f>
        <v>9</v>
      </c>
      <c r="Q55" s="34"/>
      <c r="AF55" s="31"/>
      <c r="AG55" s="31" t="s">
        <v>10</v>
      </c>
      <c r="AH55" s="31">
        <v>0</v>
      </c>
      <c r="AI55" s="31">
        <v>1</v>
      </c>
      <c r="AJ55" s="31">
        <v>31</v>
      </c>
      <c r="AK55" s="34"/>
    </row>
    <row r="56" spans="1:37" x14ac:dyDescent="0.25">
      <c r="A56">
        <v>6.4</v>
      </c>
      <c r="B56">
        <v>2.7</v>
      </c>
      <c r="C56">
        <v>4.0999999999999996</v>
      </c>
      <c r="D56">
        <v>1</v>
      </c>
      <c r="E56" t="s">
        <v>6</v>
      </c>
      <c r="L56" s="31">
        <v>7.05</v>
      </c>
      <c r="M56" s="31" t="s">
        <v>9</v>
      </c>
      <c r="N56" s="31">
        <f>COUNTIFS(A2:A149, "&lt;7.05", E2:E149,"Iris-setosa")</f>
        <v>40</v>
      </c>
      <c r="O56" s="31">
        <f>COUNTIFS(A2:A149, "&lt;7.05", E2:E149,"Iris-versicolor")</f>
        <v>37</v>
      </c>
      <c r="P56" s="31">
        <f>COUNTIFS(A2:A149, "&lt;7.05", E2:E149,"Iris-virginica")</f>
        <v>31</v>
      </c>
      <c r="Q56" s="34">
        <f t="shared" ref="Q56" si="99">(1-POWER(N56/SUM(N56,O56,P56),2)-POWER(O56/SUM(N56,O56,P56),2)-POWER(P56/SUM(N56,O56,P56),2))*SUM(N56,O56,P56)/120+(1-POWER(N57/SUM(N57,O57,P57),2)-POWER(O57/SUM(N57,O57,P57),2)-POWER(P57/SUM(N57,O57,P57),2))*SUM(N57,O57,P57)/120</f>
        <v>0.63425925925925919</v>
      </c>
      <c r="AF56" s="31">
        <v>5.15</v>
      </c>
      <c r="AG56" s="31" t="s">
        <v>9</v>
      </c>
      <c r="AH56" s="31">
        <v>40</v>
      </c>
      <c r="AI56" s="31">
        <f>COUNTIFS(C2:C149, "&lt; 5.15", E2:E149,"Iris-versicolor")</f>
        <v>40</v>
      </c>
      <c r="AJ56" s="31">
        <f>COUNTIFS(C2:C149, "&lt; 5.15", E2:E149,"Iris-virginica")</f>
        <v>16</v>
      </c>
      <c r="AK56" s="34">
        <f t="shared" ref="AK56" si="100">(1-POWER(AH56/SUM(AH56,AI56,AJ56),2)-POWER(AI56/SUM(AH56,AI56,AJ56),2)-POWER(AJ56/SUM(AH56,AI56,AJ56),2))*SUM(AH56,AI56,AJ56)/120+(1-POWER(AH57/SUM(AH57,AI57,AJ57),2)-POWER(AI57/SUM(AH57,AI57,AJ57),2)-POWER(AJ57/SUM(AH57,AI57,AJ57),2))*SUM(AH57,AI57,AJ57)/120</f>
        <v>0.49999999999999989</v>
      </c>
    </row>
    <row r="57" spans="1:37" x14ac:dyDescent="0.25">
      <c r="A57">
        <v>6.6</v>
      </c>
      <c r="B57">
        <v>2.7</v>
      </c>
      <c r="C57">
        <v>3.9</v>
      </c>
      <c r="D57">
        <v>1.2</v>
      </c>
      <c r="E57" t="s">
        <v>6</v>
      </c>
      <c r="L57" s="31"/>
      <c r="M57" s="31" t="s">
        <v>10</v>
      </c>
      <c r="N57" s="31">
        <v>0</v>
      </c>
      <c r="O57" s="31">
        <f>COUNTIFS(A2:A149, "&gt;=7.05", E2:E149,"Iris-versicolor")</f>
        <v>3</v>
      </c>
      <c r="P57" s="31">
        <f>COUNTIFS(A2:A149, "&gt;=7.05", E2:E149,"Iris-virginica")</f>
        <v>9</v>
      </c>
      <c r="Q57" s="34"/>
      <c r="AF57" s="31"/>
      <c r="AG57" s="31" t="s">
        <v>10</v>
      </c>
      <c r="AH57" s="31">
        <v>0</v>
      </c>
      <c r="AI57" s="31">
        <v>0</v>
      </c>
      <c r="AJ57" s="31">
        <v>24</v>
      </c>
      <c r="AK57" s="34"/>
    </row>
    <row r="58" spans="1:37" x14ac:dyDescent="0.25">
      <c r="A58">
        <v>6.8</v>
      </c>
      <c r="B58">
        <v>2.6</v>
      </c>
      <c r="C58">
        <v>4</v>
      </c>
      <c r="D58">
        <v>1.2</v>
      </c>
      <c r="E58" t="s">
        <v>6</v>
      </c>
      <c r="L58" s="31">
        <v>7.15</v>
      </c>
      <c r="M58" s="31" t="s">
        <v>9</v>
      </c>
      <c r="N58" s="31">
        <f>COUNTIFS(A2:A149, "&lt;7.15", E2:E149,"Iris-setosa")</f>
        <v>40</v>
      </c>
      <c r="O58" s="31">
        <f>COUNTIFS(A2:A149, "&lt;7.15", E2:E149,"Iris-versicolor")</f>
        <v>37</v>
      </c>
      <c r="P58" s="31">
        <f>COUNTIFS(A2:A149, "&lt;7.15", E2:E149,"Iris-virginica")</f>
        <v>32</v>
      </c>
      <c r="Q58" s="34">
        <f t="shared" ref="Q58" si="101">(1-POWER(N58/SUM(N58,O58,P58),2)-POWER(O58/SUM(N58,O58,P58),2)-POWER(P58/SUM(N58,O58,P58),2))*SUM(N58,O58,P58)/120+(1-POWER(N59/SUM(N59,O59,P59),2)-POWER(O59/SUM(N59,O59,P59),2)-POWER(P59/SUM(N59,O59,P59),2))*SUM(N59,O59,P59)/120</f>
        <v>0.63942174033917143</v>
      </c>
      <c r="AF58" s="31">
        <v>5.25</v>
      </c>
      <c r="AG58" s="31" t="s">
        <v>9</v>
      </c>
      <c r="AH58" s="31">
        <v>40</v>
      </c>
      <c r="AI58" s="31">
        <f>COUNTIFS(C2:C149, "&lt; 5.25", E2:E149,"Iris-versicolor")</f>
        <v>40</v>
      </c>
      <c r="AJ58" s="31">
        <f>COUNTIFS(C2:C149, "&lt; 5.25", E2:E149,"Iris-virginica")</f>
        <v>18</v>
      </c>
      <c r="AK58" s="34">
        <f t="shared" ref="AK58" si="102">(1-POWER(AH58/SUM(AH58,AI58,AJ58),2)-POWER(AI58/SUM(AH58,AI58,AJ58),2)-POWER(AJ58/SUM(AH58,AI58,AJ58),2))*SUM(AH58,AI58,AJ58)/120+(1-POWER(AH59/SUM(AH59,AI59,AJ59),2)-POWER(AI59/SUM(AH59,AI59,AJ59),2)-POWER(AJ59/SUM(AH59,AI59,AJ59),2))*SUM(AH59,AI59,AJ59)/120</f>
        <v>0.51700680272108834</v>
      </c>
    </row>
    <row r="59" spans="1:37" x14ac:dyDescent="0.25">
      <c r="A59">
        <v>6.7</v>
      </c>
      <c r="B59">
        <v>2.7</v>
      </c>
      <c r="C59">
        <v>5.0999999999999996</v>
      </c>
      <c r="D59">
        <v>1.9</v>
      </c>
      <c r="E59" t="s">
        <v>7</v>
      </c>
      <c r="L59" s="31"/>
      <c r="M59" s="31" t="s">
        <v>10</v>
      </c>
      <c r="N59" s="31">
        <v>0</v>
      </c>
      <c r="O59" s="31">
        <f>COUNTIFS(A2:A149, "&gt;=7.15", E2:E149,"Iris-versicolor")</f>
        <v>3</v>
      </c>
      <c r="P59" s="31">
        <f>COUNTIFS(A2:A149, "&gt;=7.15", E2:E149,"Iris-virginica")</f>
        <v>8</v>
      </c>
      <c r="Q59" s="34"/>
      <c r="AF59" s="31"/>
      <c r="AG59" s="31" t="s">
        <v>10</v>
      </c>
      <c r="AH59" s="31">
        <v>0</v>
      </c>
      <c r="AI59" s="31">
        <v>0</v>
      </c>
      <c r="AJ59" s="31">
        <v>22</v>
      </c>
      <c r="AK59" s="34"/>
    </row>
    <row r="60" spans="1:37" x14ac:dyDescent="0.25">
      <c r="A60">
        <v>6</v>
      </c>
      <c r="B60">
        <v>2.8</v>
      </c>
      <c r="C60">
        <v>5.0999999999999996</v>
      </c>
      <c r="D60">
        <v>2.4</v>
      </c>
      <c r="E60" t="s">
        <v>7</v>
      </c>
      <c r="L60" s="31">
        <v>7.25</v>
      </c>
      <c r="M60" s="31" t="s">
        <v>9</v>
      </c>
      <c r="N60" s="31">
        <f>COUNTIFS(A2:A149, "&lt;7.25", E2:E149,"Iris-setosa")</f>
        <v>40</v>
      </c>
      <c r="O60" s="31">
        <f>COUNTIFS(A2:A149, "&lt;7.25", E2:E149,"Iris-versicolor")</f>
        <v>38</v>
      </c>
      <c r="P60" s="31">
        <f>COUNTIFS(A2:A149, "&lt;7.25", E2:E149,"Iris-virginica")</f>
        <v>34</v>
      </c>
      <c r="Q60" s="34">
        <f t="shared" ref="Q60" si="103">(1-POWER(N60/SUM(N60,O60,P60),2)-POWER(O60/SUM(N60,O60,P60),2)-POWER(P60/SUM(N60,O60,P60),2))*SUM(N60,O60,P60)/120+(1-POWER(N61/SUM(N61,O61,P61),2)-POWER(O61/SUM(N61,O61,P61),2)-POWER(P61/SUM(N61,O61,P61),2))*SUM(N61,O61,P61)/120</f>
        <v>0.64583333333333337</v>
      </c>
      <c r="AF60" s="31">
        <v>5.35</v>
      </c>
      <c r="AG60" s="31" t="s">
        <v>9</v>
      </c>
      <c r="AH60" s="31">
        <v>40</v>
      </c>
      <c r="AI60" s="31">
        <f>COUNTIFS(C2:C149, "&lt; 5.35", E2:E149,"Iris-versicolor")</f>
        <v>40</v>
      </c>
      <c r="AJ60" s="31">
        <f>COUNTIFS(C2:C149, "&lt; 5.35", E2:E149,"Iris-virginica")</f>
        <v>20</v>
      </c>
      <c r="AK60" s="34">
        <f t="shared" ref="AK60" si="104">(1-POWER(AH60/SUM(AH60,AI60,AJ60),2)-POWER(AI60/SUM(AH60,AI60,AJ60),2)-POWER(AJ60/SUM(AH60,AI60,AJ60),2))*SUM(AH60,AI60,AJ60)/120+(1-POWER(AH61/SUM(AH61,AI61,AJ61),2)-POWER(AI61/SUM(AH61,AI61,AJ61),2)-POWER(AJ61/SUM(AH61,AI61,AJ61),2))*SUM(AH61,AI61,AJ61)/120</f>
        <v>0.53333333333333333</v>
      </c>
    </row>
    <row r="61" spans="1:37" x14ac:dyDescent="0.25">
      <c r="A61">
        <v>5.7</v>
      </c>
      <c r="B61">
        <v>2.7</v>
      </c>
      <c r="C61">
        <v>5.0999999999999996</v>
      </c>
      <c r="D61">
        <v>1.9</v>
      </c>
      <c r="E61" t="s">
        <v>7</v>
      </c>
      <c r="L61" s="31"/>
      <c r="M61" s="31" t="s">
        <v>10</v>
      </c>
      <c r="N61" s="31">
        <v>0</v>
      </c>
      <c r="O61" s="31">
        <f>COUNTIFS(A2:A149, "&gt;=7.25", E2:E149,"Iris-versicolor")</f>
        <v>2</v>
      </c>
      <c r="P61" s="31">
        <f>COUNTIFS(A2:A149, "&gt;=7.25", E2:E149,"Iris-virginica")</f>
        <v>6</v>
      </c>
      <c r="Q61" s="34"/>
      <c r="AF61" s="31"/>
      <c r="AG61" s="31" t="s">
        <v>10</v>
      </c>
      <c r="AH61" s="31">
        <v>0</v>
      </c>
      <c r="AI61" s="31">
        <v>0</v>
      </c>
      <c r="AJ61" s="31">
        <v>20</v>
      </c>
      <c r="AK61" s="34"/>
    </row>
    <row r="62" spans="1:37" x14ac:dyDescent="0.25">
      <c r="A62">
        <v>5.5</v>
      </c>
      <c r="B62">
        <v>3</v>
      </c>
      <c r="C62">
        <v>4.2</v>
      </c>
      <c r="D62">
        <v>1.5</v>
      </c>
      <c r="E62" t="s">
        <v>6</v>
      </c>
      <c r="L62" s="31">
        <v>7.35</v>
      </c>
      <c r="M62" s="31" t="s">
        <v>9</v>
      </c>
      <c r="N62" s="31">
        <f>COUNTIFS(A2:A149, "&lt;7.35", E2:E149,"Iris-setosa")</f>
        <v>40</v>
      </c>
      <c r="O62" s="31">
        <f>COUNTIFS(A2:A149, "&lt;7.35", E2:E149,"Iris-versicolor")</f>
        <v>38</v>
      </c>
      <c r="P62" s="31">
        <f>COUNTIFS(A2:A149, "&lt;7.35", E2:E149,"Iris-virginica")</f>
        <v>35</v>
      </c>
      <c r="Q62" s="34">
        <f t="shared" ref="Q62" si="105">(1-POWER(N62/SUM(N62,O62,P62),2)-POWER(O62/SUM(N62,O62,P62),2)-POWER(P62/SUM(N62,O62,P62),2))*SUM(N62,O62,P62)/120+(1-POWER(N63/SUM(N63,O63,P63),2)-POWER(O63/SUM(N63,O63,P63),2)-POWER(P63/SUM(N63,O63,P63),2))*SUM(N63,O63,P63)/120</f>
        <v>0.65065318162663288</v>
      </c>
      <c r="AF62" s="31">
        <v>5.45</v>
      </c>
      <c r="AG62" s="31" t="s">
        <v>9</v>
      </c>
      <c r="AH62" s="31">
        <v>40</v>
      </c>
      <c r="AI62" s="31">
        <f>COUNTIFS(C2:C149, "&lt; 5.45", E2:E149,"Iris-versicolor")</f>
        <v>40</v>
      </c>
      <c r="AJ62" s="31">
        <f>COUNTIFS(C2:C149, "&lt; 5.45", E2:E149,"Iris-virginica")</f>
        <v>22</v>
      </c>
      <c r="AK62" s="34">
        <f t="shared" ref="AK62" si="106">(1-POWER(AH62/SUM(AH62,AI62,AJ62),2)-POWER(AI62/SUM(AH62,AI62,AJ62),2)-POWER(AJ62/SUM(AH62,AI62,AJ62),2))*SUM(AH62,AI62,AJ62)/120+(1-POWER(AH63/SUM(AH63,AI63,AJ63),2)-POWER(AI63/SUM(AH63,AI63,AJ63),2)-POWER(AJ63/SUM(AH63,AI63,AJ63),2))*SUM(AH63,AI63,AJ63)/120</f>
        <v>0.5490196078431373</v>
      </c>
    </row>
    <row r="63" spans="1:37" x14ac:dyDescent="0.25">
      <c r="A63">
        <v>5.5</v>
      </c>
      <c r="B63">
        <v>3.2</v>
      </c>
      <c r="C63">
        <v>4.8</v>
      </c>
      <c r="D63">
        <v>1.8</v>
      </c>
      <c r="E63" t="s">
        <v>6</v>
      </c>
      <c r="L63" s="31"/>
      <c r="M63" s="31" t="s">
        <v>10</v>
      </c>
      <c r="N63" s="31">
        <v>0</v>
      </c>
      <c r="O63" s="31">
        <f>COUNTIFS(A2:A149, "&gt;=7.35", E2:E149,"Iris-versicolor")</f>
        <v>2</v>
      </c>
      <c r="P63" s="31">
        <f>COUNTIFS(A2:A149, "&gt;=7.35", E2:E149,"Iris-virginica")</f>
        <v>5</v>
      </c>
      <c r="Q63" s="34"/>
      <c r="AF63" s="31"/>
      <c r="AG63" s="31" t="s">
        <v>10</v>
      </c>
      <c r="AH63" s="31">
        <v>0</v>
      </c>
      <c r="AI63" s="31">
        <v>0</v>
      </c>
      <c r="AJ63" s="31">
        <v>18</v>
      </c>
      <c r="AK63" s="34"/>
    </row>
    <row r="64" spans="1:37" x14ac:dyDescent="0.25">
      <c r="A64">
        <v>5.8</v>
      </c>
      <c r="B64">
        <v>3</v>
      </c>
      <c r="C64">
        <v>5.0999999999999996</v>
      </c>
      <c r="D64">
        <v>1.8</v>
      </c>
      <c r="E64" t="s">
        <v>7</v>
      </c>
      <c r="L64" s="31">
        <v>7.5</v>
      </c>
      <c r="M64" s="31" t="s">
        <v>9</v>
      </c>
      <c r="N64" s="31">
        <f>COUNTIFS(A2:A149, "&lt;7.5", E2:E149,"Iris-setosa")</f>
        <v>40</v>
      </c>
      <c r="O64" s="31">
        <f>COUNTIFS(A2:A149, "&lt;7.5", E2:E149,"Iris-versicolor")</f>
        <v>39</v>
      </c>
      <c r="P64" s="31">
        <f>COUNTIFS(A2:A149, "&lt;7.5", E2:E149,"Iris-virginica")</f>
        <v>35</v>
      </c>
      <c r="Q64" s="34">
        <f t="shared" ref="Q64" si="107">(1-POWER(N64/SUM(N64,O64,P64),2)-POWER(O64/SUM(N64,O64,P64),2)-POWER(P64/SUM(N64,O64,P64),2))*SUM(N64,O64,P64)/120+(1-POWER(N65/SUM(N65,O65,P65),2)-POWER(O65/SUM(N65,O65,P65),2)-POWER(P65/SUM(N65,O65,P65),2))*SUM(N65,O65,P65)/120</f>
        <v>0.64619883040935666</v>
      </c>
      <c r="AF64" s="31">
        <v>5.55</v>
      </c>
      <c r="AG64" s="31" t="s">
        <v>9</v>
      </c>
      <c r="AH64" s="31">
        <v>40</v>
      </c>
      <c r="AI64" s="31">
        <f>COUNTIFS(C2:C149, "&lt; 5.55", E2:E149,"Iris-versicolor")</f>
        <v>40</v>
      </c>
      <c r="AJ64" s="31">
        <f>COUNTIFS(C2:C149, "&lt; 5.55", E2:E149,"Iris-virginica")</f>
        <v>25</v>
      </c>
      <c r="AK64" s="34">
        <f t="shared" ref="AK64" si="108">(1-POWER(AH64/SUM(AH64,AI64,AJ64),2)-POWER(AI64/SUM(AH64,AI64,AJ64),2)-POWER(AJ64/SUM(AH64,AI64,AJ64),2))*SUM(AH64,AI64,AJ64)/120+(1-POWER(AH65/SUM(AH65,AI65,AJ65),2)-POWER(AI65/SUM(AH65,AI65,AJ65),2)-POWER(AJ65/SUM(AH65,AI65,AJ65),2))*SUM(AH65,AI65,AJ65)/120</f>
        <v>0.57142857142857151</v>
      </c>
    </row>
    <row r="65" spans="1:37" x14ac:dyDescent="0.25">
      <c r="A65">
        <v>6</v>
      </c>
      <c r="B65">
        <v>2.2000000000000002</v>
      </c>
      <c r="C65">
        <v>4</v>
      </c>
      <c r="D65">
        <v>1</v>
      </c>
      <c r="E65" t="s">
        <v>6</v>
      </c>
      <c r="L65" s="31"/>
      <c r="M65" s="31" t="s">
        <v>10</v>
      </c>
      <c r="N65" s="31">
        <v>0</v>
      </c>
      <c r="O65" s="31">
        <f>COUNTIFS(A2:A149, "&gt;=7.5", E2:E149,"Iris-versicolor")</f>
        <v>1</v>
      </c>
      <c r="P65" s="31">
        <f>COUNTIFS(A2:A149, "&gt;=7.5", E2:E149,"Iris-virginica")</f>
        <v>5</v>
      </c>
      <c r="Q65" s="34"/>
      <c r="AF65" s="31"/>
      <c r="AG65" s="31" t="s">
        <v>10</v>
      </c>
      <c r="AH65" s="31">
        <v>0</v>
      </c>
      <c r="AI65" s="31">
        <v>0</v>
      </c>
      <c r="AJ65" s="31">
        <v>15</v>
      </c>
      <c r="AK65" s="34"/>
    </row>
    <row r="66" spans="1:37" x14ac:dyDescent="0.25">
      <c r="A66">
        <v>5.4</v>
      </c>
      <c r="B66">
        <v>2.9</v>
      </c>
      <c r="C66">
        <v>4.5</v>
      </c>
      <c r="D66">
        <v>1.5</v>
      </c>
      <c r="E66" t="s">
        <v>6</v>
      </c>
      <c r="L66" s="31">
        <v>7.65</v>
      </c>
      <c r="M66" s="31" t="s">
        <v>9</v>
      </c>
      <c r="N66" s="31">
        <f>COUNTIFS(A2:A149, "&lt;7.65", E2:E149,"Iris-setosa")</f>
        <v>40</v>
      </c>
      <c r="O66" s="31">
        <f>COUNTIFS(A2:A149, "&lt;7.65", E2:E149,"Iris-versicolor")</f>
        <v>39</v>
      </c>
      <c r="P66" s="31">
        <f>COUNTIFS(A2:A149, "&lt;7.65", E2:E149,"Iris-virginica")</f>
        <v>36</v>
      </c>
      <c r="Q66" s="34">
        <f t="shared" ref="Q66" si="109">(1-POWER(N66/SUM(N66,O66,P66),2)-POWER(O66/SUM(N66,O66,P66),2)-POWER(P66/SUM(N66,O66,P66),2))*SUM(N66,O66,P66)/120+(1-POWER(N67/SUM(N67,O67,P67),2)-POWER(O67/SUM(N67,O67,P67),2)-POWER(P67/SUM(N67,O67,P67),2))*SUM(N67,O67,P67)/120</f>
        <v>0.65159420289855063</v>
      </c>
      <c r="AF66" s="31">
        <v>5.65</v>
      </c>
      <c r="AG66" s="31" t="s">
        <v>9</v>
      </c>
      <c r="AH66" s="31">
        <v>40</v>
      </c>
      <c r="AI66" s="31">
        <f>COUNTIFS(C2:C149, "&lt; 5.65", E2:E149,"Iris-versicolor")</f>
        <v>40</v>
      </c>
      <c r="AJ66" s="31">
        <f>COUNTIFS(C2:C149, "&lt; 5.65", E2:E149,"Iris-virginica")</f>
        <v>31</v>
      </c>
      <c r="AK66" s="34">
        <f t="shared" ref="AK66" si="110">(1-POWER(AH66/SUM(AH66,AI66,AJ66),2)-POWER(AI66/SUM(AH66,AI66,AJ66),2)-POWER(AJ66/SUM(AH66,AI66,AJ66),2))*SUM(AH66,AI66,AJ66)/120+(1-POWER(AH67/SUM(AH67,AI67,AJ67),2)-POWER(AI67/SUM(AH67,AI67,AJ67),2)-POWER(AJ67/SUM(AH67,AI67,AJ67),2))*SUM(AH67,AI67,AJ67)/120</f>
        <v>0.61261261261261279</v>
      </c>
    </row>
    <row r="67" spans="1:37" x14ac:dyDescent="0.25">
      <c r="A67">
        <v>6</v>
      </c>
      <c r="B67">
        <v>2.7</v>
      </c>
      <c r="C67">
        <v>5.0999999999999996</v>
      </c>
      <c r="D67">
        <v>1.6</v>
      </c>
      <c r="E67" t="s">
        <v>6</v>
      </c>
      <c r="L67" s="31"/>
      <c r="M67" s="31" t="s">
        <v>10</v>
      </c>
      <c r="N67" s="31">
        <v>0</v>
      </c>
      <c r="O67" s="31">
        <f>COUNTIFS(A2:A149, "&gt;=7.65", E2:E149,"Iris-versicolor")</f>
        <v>1</v>
      </c>
      <c r="P67" s="31">
        <f>COUNTIFS(A2:A149, "&gt;=7.65", E2:E149,"Iris-virginica")</f>
        <v>4</v>
      </c>
      <c r="Q67" s="34"/>
      <c r="AF67" s="31"/>
      <c r="AG67" s="31" t="s">
        <v>10</v>
      </c>
      <c r="AH67" s="31">
        <v>0</v>
      </c>
      <c r="AI67" s="31">
        <v>0</v>
      </c>
      <c r="AJ67" s="31">
        <v>9</v>
      </c>
      <c r="AK67" s="34"/>
    </row>
    <row r="68" spans="1:37" x14ac:dyDescent="0.25">
      <c r="A68">
        <v>6.7</v>
      </c>
      <c r="B68">
        <v>3.4</v>
      </c>
      <c r="C68">
        <v>4.5</v>
      </c>
      <c r="D68">
        <v>1.6</v>
      </c>
      <c r="E68" t="s">
        <v>6</v>
      </c>
      <c r="L68" s="31">
        <v>7.8</v>
      </c>
      <c r="M68" s="31" t="s">
        <v>9</v>
      </c>
      <c r="N68" s="31">
        <f>COUNTIFS(A2:A149, "&lt;7.8", E2:E149,"Iris-setosa")</f>
        <v>40</v>
      </c>
      <c r="O68" s="31">
        <f>COUNTIFS(A2:A149, "&lt;7.8", E2:E149,"Iris-versicolor")</f>
        <v>40</v>
      </c>
      <c r="P68" s="31">
        <f>COUNTIFS(A2:A149, "&lt;7.8", E2:E149,"Iris-virginica")</f>
        <v>39</v>
      </c>
      <c r="Q68" s="34">
        <f t="shared" ref="Q68" si="111">(1-POWER(N68/SUM(N68,O68,P68),2)-POWER(O68/SUM(N68,O68,P68),2)-POWER(P68/SUM(N68,O68,P68),2))*SUM(N68,O68,P68)/120+(1-POWER(N69/SUM(N69,O69,P69),2)-POWER(O69/SUM(N69,O69,P69),2)-POWER(P69/SUM(N69,O69,P69),2))*SUM(N69,O69,P69)/120</f>
        <v>0.661064425770308</v>
      </c>
      <c r="AF68" s="31">
        <v>5.75</v>
      </c>
      <c r="AG68" s="31" t="s">
        <v>9</v>
      </c>
      <c r="AH68" s="31">
        <v>40</v>
      </c>
      <c r="AI68" s="31">
        <v>40</v>
      </c>
      <c r="AJ68" s="31">
        <f>COUNTIFS(C2:C149, "&lt; 5.75", E2:E149,"Iris-virginica")</f>
        <v>34</v>
      </c>
      <c r="AK68" s="34">
        <f t="shared" ref="AK68" si="112">(1-POWER(AH68/SUM(AH68,AI68,AJ68),2)-POWER(AI68/SUM(AH68,AI68,AJ68),2)-POWER(AJ68/SUM(AH68,AI68,AJ68),2))*SUM(AH68,AI68,AJ68)/120+(1-POWER(AH69/SUM(AH69,AI69,AJ69),2)-POWER(AI69/SUM(AH69,AI69,AJ69),2)-POWER(AJ69/SUM(AH69,AI69,AJ69),2))*SUM(AH69,AI69,AJ69)/120</f>
        <v>0.63157894736842113</v>
      </c>
    </row>
    <row r="69" spans="1:37" x14ac:dyDescent="0.25">
      <c r="A69">
        <v>6.3</v>
      </c>
      <c r="B69">
        <v>2.2000000000000002</v>
      </c>
      <c r="C69">
        <v>5</v>
      </c>
      <c r="D69">
        <v>1.5</v>
      </c>
      <c r="E69" t="s">
        <v>7</v>
      </c>
      <c r="L69" s="31"/>
      <c r="M69" s="31" t="s">
        <v>10</v>
      </c>
      <c r="N69" s="31">
        <v>0</v>
      </c>
      <c r="O69" s="31">
        <v>0</v>
      </c>
      <c r="P69" s="31">
        <v>1</v>
      </c>
      <c r="Q69" s="34"/>
      <c r="AF69" s="31"/>
      <c r="AG69" s="31" t="s">
        <v>10</v>
      </c>
      <c r="AH69" s="31">
        <v>0</v>
      </c>
      <c r="AI69" s="31">
        <v>0</v>
      </c>
      <c r="AJ69" s="31">
        <v>6</v>
      </c>
      <c r="AK69" s="34"/>
    </row>
    <row r="70" spans="1:37" x14ac:dyDescent="0.25">
      <c r="A70">
        <v>5.6</v>
      </c>
      <c r="B70">
        <v>3</v>
      </c>
      <c r="C70">
        <v>4.8</v>
      </c>
      <c r="D70">
        <v>1.8</v>
      </c>
      <c r="E70" t="s">
        <v>7</v>
      </c>
      <c r="AF70" s="31">
        <v>5.85</v>
      </c>
      <c r="AG70" s="31" t="s">
        <v>9</v>
      </c>
      <c r="AH70" s="31">
        <v>40</v>
      </c>
      <c r="AI70" s="31">
        <v>40</v>
      </c>
      <c r="AJ70" s="31">
        <f>COUNTIFS(C2:C149, "&lt; 5.85", E2:E149,"Iris-virginica")</f>
        <v>36</v>
      </c>
      <c r="AK70" s="34">
        <f t="shared" ref="AK70" si="113">(1-POWER(AH70/SUM(AH70,AI70,AJ70),2)-POWER(AI70/SUM(AH70,AI70,AJ70),2)-POWER(AJ70/SUM(AH70,AI70,AJ70),2))*SUM(AH70,AI70,AJ70)/120+(1-POWER(AH71/SUM(AH71,AI71,AJ71),2)-POWER(AI71/SUM(AH71,AI71,AJ71),2)-POWER(AJ71/SUM(AH71,AI71,AJ71),2))*SUM(AH71,AI71,AJ71)/120</f>
        <v>0.64367816091954011</v>
      </c>
    </row>
    <row r="71" spans="1:37" x14ac:dyDescent="0.25">
      <c r="A71">
        <v>5.5</v>
      </c>
      <c r="B71">
        <v>2.9</v>
      </c>
      <c r="C71">
        <v>4.7</v>
      </c>
      <c r="D71">
        <v>1.4</v>
      </c>
      <c r="E71" t="s">
        <v>6</v>
      </c>
      <c r="AF71" s="31"/>
      <c r="AG71" s="31" t="s">
        <v>10</v>
      </c>
      <c r="AH71" s="31">
        <v>0</v>
      </c>
      <c r="AI71" s="31">
        <v>0</v>
      </c>
      <c r="AJ71" s="31">
        <v>4</v>
      </c>
      <c r="AK71" s="34"/>
    </row>
    <row r="72" spans="1:37" x14ac:dyDescent="0.25">
      <c r="A72">
        <v>5.5</v>
      </c>
      <c r="B72">
        <v>2.8</v>
      </c>
      <c r="C72">
        <v>4</v>
      </c>
      <c r="D72">
        <v>1.3</v>
      </c>
      <c r="E72" t="s">
        <v>6</v>
      </c>
      <c r="AF72" s="31">
        <v>5.95</v>
      </c>
      <c r="AG72" s="31" t="s">
        <v>9</v>
      </c>
      <c r="AH72" s="31">
        <v>40</v>
      </c>
      <c r="AI72" s="31">
        <v>40</v>
      </c>
      <c r="AJ72" s="31">
        <f>COUNTIFS(C2:C149, "&lt; 5.95", E2:E149,"Iris-virginica")</f>
        <v>37</v>
      </c>
      <c r="AK72" s="34">
        <f t="shared" ref="AK72" si="114">(1-POWER(AH72/SUM(AH72,AI72,AJ72),2)-POWER(AI72/SUM(AH72,AI72,AJ72),2)-POWER(AJ72/SUM(AH72,AI72,AJ72),2))*SUM(AH72,AI72,AJ72)/120+(1-POWER(AH73/SUM(AH73,AI73,AJ73),2)-POWER(AI73/SUM(AH73,AI73,AJ73),2)-POWER(AJ73/SUM(AH73,AI73,AJ73),2))*SUM(AH73,AI73,AJ73)/120</f>
        <v>0.64957264957264949</v>
      </c>
    </row>
    <row r="73" spans="1:37" x14ac:dyDescent="0.25">
      <c r="A73">
        <v>6.1</v>
      </c>
      <c r="B73">
        <v>2.8</v>
      </c>
      <c r="C73">
        <v>4.7</v>
      </c>
      <c r="D73">
        <v>1.2</v>
      </c>
      <c r="E73" t="s">
        <v>6</v>
      </c>
      <c r="AF73" s="31"/>
      <c r="AG73" s="31" t="s">
        <v>10</v>
      </c>
      <c r="AH73" s="31">
        <v>0</v>
      </c>
      <c r="AI73" s="31">
        <v>0</v>
      </c>
      <c r="AJ73" s="31">
        <v>3</v>
      </c>
      <c r="AK73" s="34"/>
    </row>
    <row r="74" spans="1:37" x14ac:dyDescent="0.25">
      <c r="A74">
        <v>5.8</v>
      </c>
      <c r="B74">
        <v>3</v>
      </c>
      <c r="C74">
        <v>4.5999999999999996</v>
      </c>
      <c r="D74">
        <v>1.4</v>
      </c>
      <c r="E74" t="s">
        <v>6</v>
      </c>
      <c r="N74" t="s">
        <v>21</v>
      </c>
      <c r="O74">
        <f>MIN(Q2:Q68)</f>
        <v>0.51405622489959835</v>
      </c>
      <c r="AF74" s="31">
        <v>6.05</v>
      </c>
      <c r="AG74" s="31" t="s">
        <v>9</v>
      </c>
      <c r="AH74" s="31">
        <v>40</v>
      </c>
      <c r="AI74" s="31">
        <f>COUNTIFS(C2:C149, "&lt; 6.05", E2:E149,"Iris-versicolor")</f>
        <v>40</v>
      </c>
      <c r="AJ74" s="31">
        <f>COUNTIFS(C2:C149, "&lt; 6.05", E2:E149,"Iris-virginica")</f>
        <v>38</v>
      </c>
      <c r="AK74" s="34">
        <f t="shared" ref="AK74" si="115">(1-POWER(AH74/SUM(AH74,AI74,AJ74),2)-POWER(AI74/SUM(AH74,AI74,AJ74),2)-POWER(AJ74/SUM(AH74,AI74,AJ74),2))*SUM(AH74,AI74,AJ74)/120+(1-POWER(AH75/SUM(AH75,AI75,AJ75),2)-POWER(AI75/SUM(AH75,AI75,AJ75),2)-POWER(AJ75/SUM(AH75,AI75,AJ75),2))*SUM(AH75,AI75,AJ75)/120</f>
        <v>0.65536723163841815</v>
      </c>
    </row>
    <row r="75" spans="1:37" x14ac:dyDescent="0.25">
      <c r="A75" s="5">
        <v>5</v>
      </c>
      <c r="B75" s="5">
        <v>3</v>
      </c>
      <c r="C75" s="5">
        <v>4.9000000000000004</v>
      </c>
      <c r="D75" s="5">
        <v>1.8</v>
      </c>
      <c r="E75" s="5" t="s">
        <v>7</v>
      </c>
      <c r="AF75" s="31"/>
      <c r="AG75" s="31" t="s">
        <v>10</v>
      </c>
      <c r="AH75" s="31">
        <v>0</v>
      </c>
      <c r="AI75" s="31">
        <v>0</v>
      </c>
      <c r="AJ75" s="31">
        <v>2</v>
      </c>
      <c r="AK75" s="34"/>
    </row>
    <row r="76" spans="1:37" x14ac:dyDescent="0.25">
      <c r="A76">
        <v>5.6</v>
      </c>
      <c r="B76">
        <v>2.6</v>
      </c>
      <c r="C76">
        <v>5.6</v>
      </c>
      <c r="D76">
        <v>1.4</v>
      </c>
      <c r="E76" t="s">
        <v>7</v>
      </c>
      <c r="AF76" s="31">
        <v>6.25</v>
      </c>
      <c r="AG76" s="31" t="s">
        <v>9</v>
      </c>
      <c r="AH76" s="31">
        <v>40</v>
      </c>
      <c r="AI76" s="31">
        <f>COUNTIFS(C2:C149, "&lt; 6.2", E2:E149,"Iris-versicolor")</f>
        <v>40</v>
      </c>
      <c r="AJ76" s="31">
        <f>COUNTIFS(C2:C149, "&lt; 6.2", E2:E149,"Iris-virginica")</f>
        <v>39</v>
      </c>
      <c r="AK76" s="34">
        <f t="shared" ref="AK76" si="116">(1-POWER(AH76/SUM(AH76,AI76,AJ76),2)-POWER(AI76/SUM(AH76,AI76,AJ76),2)-POWER(AJ76/SUM(AH76,AI76,AJ76),2))*SUM(AH76,AI76,AJ76)/120+(1-POWER(AH77/SUM(AH77,AI77,AJ77),2)-POWER(AI77/SUM(AH77,AI77,AJ77),2)-POWER(AJ77/SUM(AH77,AI77,AJ77),2))*SUM(AH77,AI77,AJ77)/120</f>
        <v>0.661064425770308</v>
      </c>
    </row>
    <row r="77" spans="1:37" x14ac:dyDescent="0.25">
      <c r="A77">
        <v>5.7</v>
      </c>
      <c r="B77">
        <v>2.2000000000000002</v>
      </c>
      <c r="C77">
        <v>4.5</v>
      </c>
      <c r="D77">
        <v>1.5</v>
      </c>
      <c r="E77" t="s">
        <v>6</v>
      </c>
      <c r="AF77" s="31"/>
      <c r="AG77" s="31" t="s">
        <v>10</v>
      </c>
      <c r="AH77" s="31">
        <v>0</v>
      </c>
      <c r="AI77" s="31">
        <v>0</v>
      </c>
      <c r="AJ77" s="31">
        <v>1</v>
      </c>
      <c r="AK77" s="34"/>
    </row>
    <row r="78" spans="1:37" x14ac:dyDescent="0.25">
      <c r="A78">
        <v>5.7</v>
      </c>
      <c r="B78">
        <v>2.9</v>
      </c>
      <c r="C78">
        <v>4.3</v>
      </c>
      <c r="D78">
        <v>1.3</v>
      </c>
      <c r="E78" t="s">
        <v>6</v>
      </c>
      <c r="AF78" s="31">
        <v>6.5</v>
      </c>
      <c r="AG78" s="31" t="s">
        <v>9</v>
      </c>
      <c r="AH78" s="31">
        <v>40</v>
      </c>
      <c r="AI78" s="31">
        <v>40</v>
      </c>
      <c r="AJ78" s="31">
        <f>COUNTIFS(C2:C149, "&lt; 6.35", E2:E149,"Iris-virginica")</f>
        <v>39</v>
      </c>
      <c r="AK78" s="34">
        <f t="shared" ref="AK78" si="117">(1-POWER(AH78/SUM(AH78,AI78,AJ78),2)-POWER(AI78/SUM(AH78,AI78,AJ78),2)-POWER(AJ78/SUM(AH78,AI78,AJ78),2))*SUM(AH78,AI78,AJ78)/120+(1-POWER(AH79/SUM(AH79,AI79,AJ79),2)-POWER(AI79/SUM(AH79,AI79,AJ79),2)-POWER(AJ79/SUM(AH79,AI79,AJ79),2))*SUM(AH79,AI79,AJ79)/120</f>
        <v>0.661064425770308</v>
      </c>
    </row>
    <row r="79" spans="1:37" x14ac:dyDescent="0.25">
      <c r="A79">
        <v>6.2</v>
      </c>
      <c r="B79">
        <v>2.8</v>
      </c>
      <c r="C79">
        <v>4.8</v>
      </c>
      <c r="D79">
        <v>1.8</v>
      </c>
      <c r="E79" t="s">
        <v>7</v>
      </c>
      <c r="AF79" s="31"/>
      <c r="AG79" s="31" t="s">
        <v>10</v>
      </c>
      <c r="AH79" s="31">
        <v>0</v>
      </c>
      <c r="AI79" s="31">
        <v>0</v>
      </c>
      <c r="AJ79" s="31">
        <v>1</v>
      </c>
      <c r="AK79" s="34"/>
    </row>
    <row r="80" spans="1:37" x14ac:dyDescent="0.25">
      <c r="A80" s="5">
        <v>5.0999999999999996</v>
      </c>
      <c r="B80" s="5">
        <v>3.4</v>
      </c>
      <c r="C80" s="5">
        <v>5.4</v>
      </c>
      <c r="D80" s="5">
        <v>2.2999999999999998</v>
      </c>
      <c r="E80" s="5" t="s">
        <v>7</v>
      </c>
      <c r="AF80" s="31">
        <v>6.5</v>
      </c>
      <c r="AG80" s="31" t="s">
        <v>9</v>
      </c>
      <c r="AH80" s="31">
        <v>40</v>
      </c>
      <c r="AI80" s="31">
        <v>40</v>
      </c>
      <c r="AJ80" s="31">
        <f>COUNTIFS(C2:C149, "&lt; 6.5", E2:E149,"Iris-virginica")</f>
        <v>40</v>
      </c>
      <c r="AK80" s="34">
        <f>(1-POWER(AH80/SUM(AH80,AI80,AJ80),2)-POWER(AI80/SUM(AH80,AI80,AJ80),2)-POWER(AJ80/SUM(AH80,AI80,AJ80),2))*SUM(AH80,AI80,AJ80)/120</f>
        <v>0.66666666666666652</v>
      </c>
    </row>
    <row r="81" spans="1:37" x14ac:dyDescent="0.25">
      <c r="A81">
        <v>5.7</v>
      </c>
      <c r="B81">
        <v>3.3</v>
      </c>
      <c r="C81">
        <v>4.7</v>
      </c>
      <c r="D81">
        <v>1.6</v>
      </c>
      <c r="E81" t="s">
        <v>6</v>
      </c>
      <c r="AF81" s="31"/>
      <c r="AG81" s="31" t="s">
        <v>10</v>
      </c>
      <c r="AH81" s="31">
        <v>0</v>
      </c>
      <c r="AI81" s="31">
        <v>0</v>
      </c>
      <c r="AJ81" s="31">
        <v>0</v>
      </c>
      <c r="AK81" s="34"/>
    </row>
    <row r="82" spans="1:37" x14ac:dyDescent="0.25">
      <c r="A82">
        <v>6.3</v>
      </c>
      <c r="B82">
        <v>2.5</v>
      </c>
      <c r="C82">
        <v>4.9000000000000004</v>
      </c>
      <c r="D82">
        <v>1.5</v>
      </c>
      <c r="E82" t="s">
        <v>6</v>
      </c>
      <c r="AF82" s="31">
        <v>6.65</v>
      </c>
      <c r="AG82" s="31" t="s">
        <v>9</v>
      </c>
      <c r="AH82" s="31">
        <f>COUNTIFS(C2:C149, "&lt; 6.65", E2:E149,"Iris-setosa")</f>
        <v>40</v>
      </c>
      <c r="AI82" s="31">
        <v>40</v>
      </c>
      <c r="AJ82" s="31">
        <f>COUNTIFS(C2:C149, "&lt; 6.65", E2:E149,"Iris-virginica")</f>
        <v>40</v>
      </c>
      <c r="AK82" s="34">
        <f t="shared" ref="AK82" si="118">(1-POWER(AH82/SUM(AH82,AI82,AJ82),2)-POWER(AI82/SUM(AH82,AI82,AJ82),2)-POWER(AJ82/SUM(AH82,AI82,AJ82),2))*SUM(AH82,AI82,AJ82)/120</f>
        <v>0.66666666666666652</v>
      </c>
    </row>
    <row r="83" spans="1:37" x14ac:dyDescent="0.25">
      <c r="A83">
        <v>5.8</v>
      </c>
      <c r="B83">
        <v>2.2999999999999998</v>
      </c>
      <c r="C83">
        <v>4.4000000000000004</v>
      </c>
      <c r="D83">
        <v>1.3</v>
      </c>
      <c r="E83" t="s">
        <v>6</v>
      </c>
      <c r="AF83" s="31"/>
      <c r="AG83" s="31" t="s">
        <v>10</v>
      </c>
      <c r="AH83" s="31">
        <v>0</v>
      </c>
      <c r="AI83" s="31">
        <v>0</v>
      </c>
      <c r="AJ83" s="31">
        <v>0</v>
      </c>
      <c r="AK83" s="34"/>
    </row>
    <row r="84" spans="1:37" x14ac:dyDescent="0.25">
      <c r="A84">
        <v>7.1</v>
      </c>
      <c r="B84">
        <v>3.3</v>
      </c>
      <c r="C84">
        <v>6</v>
      </c>
      <c r="D84">
        <v>2.5</v>
      </c>
      <c r="E84" t="s">
        <v>7</v>
      </c>
      <c r="AF84" s="31">
        <v>6.8</v>
      </c>
      <c r="AG84" s="31" t="s">
        <v>9</v>
      </c>
      <c r="AH84" s="31">
        <f>COUNTIFS(C2:C149, "&lt; 6.8", E2:E149,"Iris-setosa")</f>
        <v>40</v>
      </c>
      <c r="AI84" s="31">
        <v>40</v>
      </c>
      <c r="AJ84" s="31">
        <f>COUNTIFS(C2:C149, "&lt; 6.8", E2:E149,"Iris-virginica")</f>
        <v>40</v>
      </c>
      <c r="AK84" s="34">
        <f t="shared" ref="AK84" si="119">(1-POWER(AH84/SUM(AH84,AI84,AJ84),2)-POWER(AI84/SUM(AH84,AI84,AJ84),2)-POWER(AJ84/SUM(AH84,AI84,AJ84),2))*SUM(AH84,AI84,AJ84)/120</f>
        <v>0.66666666666666652</v>
      </c>
    </row>
    <row r="85" spans="1:37" x14ac:dyDescent="0.25">
      <c r="A85">
        <v>6.3</v>
      </c>
      <c r="B85">
        <v>2.9</v>
      </c>
      <c r="C85">
        <v>5.6</v>
      </c>
      <c r="D85">
        <v>1.8</v>
      </c>
      <c r="E85" t="s">
        <v>7</v>
      </c>
      <c r="AF85" s="31"/>
      <c r="AG85" s="31" t="s">
        <v>10</v>
      </c>
      <c r="AH85" s="31">
        <v>0</v>
      </c>
      <c r="AI85" s="31">
        <v>0</v>
      </c>
      <c r="AJ85" s="31">
        <v>0</v>
      </c>
      <c r="AK85" s="34"/>
    </row>
    <row r="86" spans="1:37" x14ac:dyDescent="0.25">
      <c r="A86">
        <v>6.5</v>
      </c>
      <c r="B86">
        <v>2.7</v>
      </c>
      <c r="C86">
        <v>4.9000000000000004</v>
      </c>
      <c r="D86">
        <v>1.8</v>
      </c>
      <c r="E86" t="s">
        <v>7</v>
      </c>
    </row>
    <row r="87" spans="1:37" x14ac:dyDescent="0.25">
      <c r="A87">
        <v>7.6</v>
      </c>
      <c r="B87">
        <v>2.8</v>
      </c>
      <c r="C87">
        <v>5.0999999999999996</v>
      </c>
      <c r="D87">
        <v>1.5</v>
      </c>
      <c r="E87" t="s">
        <v>7</v>
      </c>
    </row>
    <row r="88" spans="1:37" x14ac:dyDescent="0.25">
      <c r="A88" s="5">
        <v>4.9000000000000004</v>
      </c>
      <c r="B88" s="5">
        <v>3.4</v>
      </c>
      <c r="C88" s="5">
        <v>5.6</v>
      </c>
      <c r="D88" s="5">
        <v>2.4</v>
      </c>
      <c r="E88" s="5" t="s">
        <v>7</v>
      </c>
    </row>
    <row r="89" spans="1:37" x14ac:dyDescent="0.25">
      <c r="A89">
        <v>7.3</v>
      </c>
      <c r="B89">
        <v>2.5</v>
      </c>
      <c r="C89">
        <v>5</v>
      </c>
      <c r="D89">
        <v>1.9</v>
      </c>
      <c r="E89" t="s">
        <v>7</v>
      </c>
      <c r="AH89" t="s">
        <v>22</v>
      </c>
      <c r="AI89">
        <f>MIN(AK2:AK84)</f>
        <v>0.33333333333333331</v>
      </c>
    </row>
    <row r="90" spans="1:37" x14ac:dyDescent="0.25">
      <c r="A90">
        <v>6.7</v>
      </c>
      <c r="B90">
        <v>3.2</v>
      </c>
      <c r="C90">
        <v>4.5</v>
      </c>
      <c r="D90">
        <v>1.5</v>
      </c>
      <c r="E90" t="s">
        <v>6</v>
      </c>
    </row>
    <row r="91" spans="1:37" x14ac:dyDescent="0.25">
      <c r="A91">
        <v>7.2</v>
      </c>
      <c r="B91">
        <v>2.9</v>
      </c>
      <c r="C91">
        <v>4.3</v>
      </c>
      <c r="D91">
        <v>1.3</v>
      </c>
      <c r="E91" t="s">
        <v>6</v>
      </c>
    </row>
    <row r="92" spans="1:37" x14ac:dyDescent="0.25">
      <c r="A92">
        <v>6.5</v>
      </c>
      <c r="B92">
        <v>2.7</v>
      </c>
      <c r="C92">
        <v>5.3</v>
      </c>
      <c r="D92">
        <v>1.9</v>
      </c>
      <c r="E92" t="s">
        <v>7</v>
      </c>
    </row>
    <row r="93" spans="1:37" x14ac:dyDescent="0.25">
      <c r="A93">
        <v>6.4</v>
      </c>
      <c r="B93">
        <v>3.2</v>
      </c>
      <c r="C93">
        <v>5.3</v>
      </c>
      <c r="D93">
        <v>2.2999999999999998</v>
      </c>
      <c r="E93" t="s">
        <v>7</v>
      </c>
    </row>
    <row r="94" spans="1:37" x14ac:dyDescent="0.25">
      <c r="A94">
        <v>6.8</v>
      </c>
      <c r="B94">
        <v>2.8</v>
      </c>
      <c r="C94">
        <v>5.6</v>
      </c>
      <c r="D94">
        <v>2.1</v>
      </c>
      <c r="E94" t="s">
        <v>7</v>
      </c>
    </row>
    <row r="95" spans="1:37" x14ac:dyDescent="0.25">
      <c r="A95">
        <v>5.7</v>
      </c>
      <c r="B95">
        <v>2.8</v>
      </c>
      <c r="C95">
        <v>5.6</v>
      </c>
      <c r="D95">
        <v>2.2000000000000002</v>
      </c>
      <c r="E95" t="s">
        <v>7</v>
      </c>
    </row>
    <row r="96" spans="1:37" x14ac:dyDescent="0.25">
      <c r="A96">
        <v>5.8</v>
      </c>
      <c r="B96">
        <v>3.1</v>
      </c>
      <c r="C96">
        <v>5.5</v>
      </c>
      <c r="D96">
        <v>1.8</v>
      </c>
      <c r="E96" t="s">
        <v>7</v>
      </c>
    </row>
    <row r="97" spans="1:5" x14ac:dyDescent="0.25">
      <c r="A97">
        <v>6.4</v>
      </c>
      <c r="B97">
        <v>2.8</v>
      </c>
      <c r="C97">
        <v>4.5999999999999996</v>
      </c>
      <c r="D97">
        <v>1.5</v>
      </c>
      <c r="E97" t="s">
        <v>6</v>
      </c>
    </row>
    <row r="98" spans="1:5" x14ac:dyDescent="0.25">
      <c r="A98">
        <v>6.5</v>
      </c>
      <c r="B98">
        <v>3</v>
      </c>
      <c r="C98">
        <v>5.8</v>
      </c>
      <c r="D98">
        <v>2.2000000000000002</v>
      </c>
      <c r="E98" t="s">
        <v>7</v>
      </c>
    </row>
    <row r="99" spans="1:5" x14ac:dyDescent="0.25">
      <c r="A99">
        <v>7.7</v>
      </c>
      <c r="B99">
        <v>3.2</v>
      </c>
      <c r="C99">
        <v>5.0999999999999996</v>
      </c>
      <c r="D99">
        <v>2</v>
      </c>
      <c r="E99" t="s">
        <v>7</v>
      </c>
    </row>
    <row r="100" spans="1:5" x14ac:dyDescent="0.25">
      <c r="A100">
        <v>7.7</v>
      </c>
      <c r="B100">
        <v>3</v>
      </c>
      <c r="C100">
        <v>5.5</v>
      </c>
      <c r="D100">
        <v>1.8</v>
      </c>
      <c r="E100" t="s">
        <v>7</v>
      </c>
    </row>
    <row r="101" spans="1:5" x14ac:dyDescent="0.25">
      <c r="A101">
        <v>6</v>
      </c>
      <c r="B101">
        <v>3</v>
      </c>
      <c r="C101">
        <v>5.2</v>
      </c>
      <c r="D101">
        <v>2</v>
      </c>
      <c r="E101" t="s">
        <v>7</v>
      </c>
    </row>
    <row r="102" spans="1:5" x14ac:dyDescent="0.25">
      <c r="A102">
        <v>6.9</v>
      </c>
      <c r="B102">
        <v>2.9</v>
      </c>
      <c r="C102">
        <v>4.5999999999999996</v>
      </c>
      <c r="D102">
        <v>1.3</v>
      </c>
      <c r="E102" t="s">
        <v>6</v>
      </c>
    </row>
    <row r="103" spans="1:5" x14ac:dyDescent="0.25">
      <c r="A103">
        <v>5.6</v>
      </c>
      <c r="B103">
        <v>3</v>
      </c>
      <c r="C103">
        <v>4.4000000000000004</v>
      </c>
      <c r="D103">
        <v>1.4</v>
      </c>
      <c r="E103" t="s">
        <v>6</v>
      </c>
    </row>
    <row r="104" spans="1:5" x14ac:dyDescent="0.25">
      <c r="A104">
        <v>7.7</v>
      </c>
      <c r="B104">
        <v>3.1</v>
      </c>
      <c r="C104">
        <v>4.4000000000000004</v>
      </c>
      <c r="D104">
        <v>1.4</v>
      </c>
      <c r="E104" t="s">
        <v>6</v>
      </c>
    </row>
    <row r="105" spans="1:5" x14ac:dyDescent="0.25">
      <c r="A105">
        <v>6.3</v>
      </c>
      <c r="B105">
        <v>3</v>
      </c>
      <c r="C105">
        <v>5</v>
      </c>
      <c r="D105">
        <v>1.7</v>
      </c>
      <c r="E105" t="s">
        <v>6</v>
      </c>
    </row>
    <row r="106" spans="1:5" x14ac:dyDescent="0.25">
      <c r="A106">
        <v>6.7</v>
      </c>
      <c r="B106">
        <v>3.1</v>
      </c>
      <c r="C106">
        <v>4.7</v>
      </c>
      <c r="D106">
        <v>1.5</v>
      </c>
      <c r="E106" t="s">
        <v>6</v>
      </c>
    </row>
    <row r="107" spans="1:5" x14ac:dyDescent="0.25">
      <c r="A107">
        <v>7.2</v>
      </c>
      <c r="B107">
        <v>2.5</v>
      </c>
      <c r="C107">
        <v>5.8</v>
      </c>
      <c r="D107">
        <v>1.8</v>
      </c>
      <c r="E107" t="s">
        <v>7</v>
      </c>
    </row>
    <row r="108" spans="1:5" x14ac:dyDescent="0.25">
      <c r="A108">
        <v>6.2</v>
      </c>
      <c r="B108">
        <v>3.3</v>
      </c>
      <c r="C108">
        <v>5.7</v>
      </c>
      <c r="D108">
        <v>2.1</v>
      </c>
      <c r="E108" t="s">
        <v>7</v>
      </c>
    </row>
    <row r="109" spans="1:5" x14ac:dyDescent="0.25">
      <c r="A109">
        <v>6.1</v>
      </c>
      <c r="B109">
        <v>3.1</v>
      </c>
      <c r="C109">
        <v>5.6</v>
      </c>
      <c r="D109">
        <v>2.4</v>
      </c>
      <c r="E109" t="s">
        <v>7</v>
      </c>
    </row>
    <row r="110" spans="1:5" x14ac:dyDescent="0.25">
      <c r="A110">
        <v>6.4</v>
      </c>
      <c r="B110">
        <v>3.3</v>
      </c>
      <c r="C110">
        <v>5.7</v>
      </c>
      <c r="D110">
        <v>2.5</v>
      </c>
      <c r="E110" t="s">
        <v>7</v>
      </c>
    </row>
    <row r="111" spans="1:5" x14ac:dyDescent="0.25">
      <c r="A111">
        <v>7.2</v>
      </c>
      <c r="B111">
        <v>3</v>
      </c>
      <c r="C111">
        <v>5.2</v>
      </c>
      <c r="D111">
        <v>2.2999999999999998</v>
      </c>
      <c r="E111" t="s">
        <v>7</v>
      </c>
    </row>
    <row r="112" spans="1:5" x14ac:dyDescent="0.25">
      <c r="A112">
        <v>7.4</v>
      </c>
      <c r="B112">
        <v>2.8</v>
      </c>
      <c r="C112">
        <v>4.8</v>
      </c>
      <c r="D112">
        <v>1.4</v>
      </c>
      <c r="E112" t="s">
        <v>6</v>
      </c>
    </row>
    <row r="113" spans="1:5" x14ac:dyDescent="0.25">
      <c r="A113">
        <v>7.9</v>
      </c>
      <c r="B113">
        <v>3</v>
      </c>
      <c r="C113">
        <v>5.5</v>
      </c>
      <c r="D113">
        <v>2.1</v>
      </c>
      <c r="E113" t="s">
        <v>7</v>
      </c>
    </row>
    <row r="114" spans="1:5" x14ac:dyDescent="0.25">
      <c r="A114">
        <v>6.4</v>
      </c>
      <c r="B114">
        <v>3.2</v>
      </c>
      <c r="C114">
        <v>5.9</v>
      </c>
      <c r="D114">
        <v>2.2999999999999998</v>
      </c>
      <c r="E114" t="s">
        <v>7</v>
      </c>
    </row>
    <row r="115" spans="1:5" x14ac:dyDescent="0.25">
      <c r="A115">
        <v>6.3</v>
      </c>
      <c r="B115">
        <v>3.1</v>
      </c>
      <c r="C115">
        <v>4.9000000000000004</v>
      </c>
      <c r="D115">
        <v>1.5</v>
      </c>
      <c r="E115" t="s">
        <v>6</v>
      </c>
    </row>
    <row r="116" spans="1:5" x14ac:dyDescent="0.25">
      <c r="A116">
        <v>6.1</v>
      </c>
      <c r="B116">
        <v>3.2</v>
      </c>
      <c r="C116">
        <v>5.7</v>
      </c>
      <c r="D116">
        <v>2.2999999999999998</v>
      </c>
      <c r="E116" t="s">
        <v>7</v>
      </c>
    </row>
    <row r="117" spans="1:5" x14ac:dyDescent="0.25">
      <c r="A117">
        <v>7.7</v>
      </c>
      <c r="B117">
        <v>3.1</v>
      </c>
      <c r="C117">
        <v>5.4</v>
      </c>
      <c r="D117">
        <v>2.1</v>
      </c>
      <c r="E117" t="s">
        <v>7</v>
      </c>
    </row>
    <row r="118" spans="1:5" x14ac:dyDescent="0.25">
      <c r="A118">
        <v>6.3</v>
      </c>
      <c r="B118">
        <v>3.1</v>
      </c>
      <c r="C118">
        <v>5.0999999999999996</v>
      </c>
      <c r="D118">
        <v>2.2999999999999998</v>
      </c>
      <c r="E118" t="s">
        <v>7</v>
      </c>
    </row>
    <row r="119" spans="1:5" x14ac:dyDescent="0.25">
      <c r="A119">
        <v>6.4</v>
      </c>
      <c r="B119">
        <v>3.2</v>
      </c>
      <c r="C119">
        <v>4.7</v>
      </c>
      <c r="D119">
        <v>1.4</v>
      </c>
      <c r="E119" t="s">
        <v>6</v>
      </c>
    </row>
    <row r="120" spans="1:5" x14ac:dyDescent="0.25">
      <c r="A120">
        <v>6.2</v>
      </c>
      <c r="B120">
        <v>3</v>
      </c>
      <c r="C120">
        <v>6.1</v>
      </c>
      <c r="D120">
        <v>2.2999999999999998</v>
      </c>
      <c r="E120" t="s">
        <v>7</v>
      </c>
    </row>
    <row r="121" spans="1:5" x14ac:dyDescent="0.25">
      <c r="A121">
        <v>5.9</v>
      </c>
      <c r="B121">
        <v>3.8</v>
      </c>
      <c r="C121">
        <v>6.4</v>
      </c>
      <c r="D121">
        <v>2</v>
      </c>
      <c r="E121" t="s">
        <v>7</v>
      </c>
    </row>
    <row r="123" spans="1:5" x14ac:dyDescent="0.25">
      <c r="A123" t="s">
        <v>27</v>
      </c>
      <c r="B123" t="s">
        <v>29</v>
      </c>
      <c r="C123" t="s">
        <v>29</v>
      </c>
      <c r="D123" t="s">
        <v>29</v>
      </c>
    </row>
    <row r="124" spans="1:5" x14ac:dyDescent="0.25">
      <c r="A124">
        <f>MIN(A2:A121)</f>
        <v>4.4000000000000004</v>
      </c>
      <c r="B124">
        <f>MIN(B2:B121)</f>
        <v>2</v>
      </c>
      <c r="C124">
        <f>MIN(C2:C121)</f>
        <v>1</v>
      </c>
      <c r="D124">
        <f>MIN(D2:D121)</f>
        <v>0.1</v>
      </c>
    </row>
    <row r="125" spans="1:5" x14ac:dyDescent="0.25">
      <c r="A125" t="s">
        <v>28</v>
      </c>
      <c r="B125" t="s">
        <v>28</v>
      </c>
      <c r="C125" t="s">
        <v>28</v>
      </c>
      <c r="D125" t="s">
        <v>28</v>
      </c>
    </row>
    <row r="126" spans="1:5" x14ac:dyDescent="0.25">
      <c r="A126">
        <f>MAX(A2:A121)</f>
        <v>7.9</v>
      </c>
      <c r="B126">
        <f>MAX(B2:B121)</f>
        <v>4.4000000000000004</v>
      </c>
      <c r="C126">
        <f>MAX(C2:C121)</f>
        <v>6.4</v>
      </c>
      <c r="D126">
        <f>MAX(D2:D121)</f>
        <v>2.5</v>
      </c>
    </row>
    <row r="159" spans="1:8" x14ac:dyDescent="0.25">
      <c r="A159" s="31" t="s">
        <v>0</v>
      </c>
      <c r="B159" s="31" t="s">
        <v>1</v>
      </c>
      <c r="C159" s="31" t="s">
        <v>2</v>
      </c>
      <c r="D159" s="31" t="s">
        <v>3</v>
      </c>
      <c r="E159" s="31" t="s">
        <v>4</v>
      </c>
    </row>
    <row r="160" spans="1:8" x14ac:dyDescent="0.25">
      <c r="A160" s="31">
        <v>4.4000000000000004</v>
      </c>
      <c r="B160" s="31">
        <v>3.2</v>
      </c>
      <c r="C160" s="31">
        <v>1.4</v>
      </c>
      <c r="D160" s="31">
        <v>0.2</v>
      </c>
      <c r="E160" s="31" t="s">
        <v>5</v>
      </c>
      <c r="G160" t="s">
        <v>111</v>
      </c>
      <c r="H160" t="s">
        <v>111</v>
      </c>
    </row>
    <row r="161" spans="1:8" x14ac:dyDescent="0.25">
      <c r="A161" s="31">
        <v>4.9000000000000004</v>
      </c>
      <c r="B161" s="31">
        <v>3.2</v>
      </c>
      <c r="C161" s="31">
        <v>1.3</v>
      </c>
      <c r="D161" s="31">
        <v>0.2</v>
      </c>
      <c r="E161" s="31" t="s">
        <v>5</v>
      </c>
      <c r="G161" t="s">
        <v>111</v>
      </c>
      <c r="H161" t="s">
        <v>111</v>
      </c>
    </row>
    <row r="162" spans="1:8" x14ac:dyDescent="0.25">
      <c r="A162" s="31">
        <v>5.4</v>
      </c>
      <c r="B162" s="31">
        <v>3.2</v>
      </c>
      <c r="C162" s="31">
        <v>1.6</v>
      </c>
      <c r="D162" s="31">
        <v>0.2</v>
      </c>
      <c r="E162" s="31" t="s">
        <v>5</v>
      </c>
      <c r="G162" s="32" t="s">
        <v>112</v>
      </c>
      <c r="H162" t="s">
        <v>111</v>
      </c>
    </row>
    <row r="163" spans="1:8" x14ac:dyDescent="0.25">
      <c r="A163" s="31">
        <v>4.8</v>
      </c>
      <c r="B163" s="31">
        <v>3.4</v>
      </c>
      <c r="C163" s="31">
        <v>1.6</v>
      </c>
      <c r="D163" s="31">
        <v>0.2</v>
      </c>
      <c r="E163" s="31" t="s">
        <v>5</v>
      </c>
      <c r="G163" t="s">
        <v>111</v>
      </c>
      <c r="H163" t="s">
        <v>111</v>
      </c>
    </row>
    <row r="164" spans="1:8" x14ac:dyDescent="0.25">
      <c r="A164" s="31">
        <v>4.8</v>
      </c>
      <c r="B164" s="31">
        <v>3</v>
      </c>
      <c r="C164" s="31">
        <v>1.4</v>
      </c>
      <c r="D164" s="31">
        <v>0.1</v>
      </c>
      <c r="E164" s="31" t="s">
        <v>5</v>
      </c>
      <c r="G164" t="s">
        <v>111</v>
      </c>
      <c r="H164" t="s">
        <v>111</v>
      </c>
    </row>
    <row r="165" spans="1:8" x14ac:dyDescent="0.25">
      <c r="A165" s="31">
        <v>4.3</v>
      </c>
      <c r="B165" s="31">
        <v>3.4</v>
      </c>
      <c r="C165" s="31">
        <v>1.9</v>
      </c>
      <c r="D165" s="31">
        <v>0.2</v>
      </c>
      <c r="E165" s="31" t="s">
        <v>5</v>
      </c>
      <c r="G165" t="s">
        <v>111</v>
      </c>
      <c r="H165" t="s">
        <v>111</v>
      </c>
    </row>
    <row r="166" spans="1:8" x14ac:dyDescent="0.25">
      <c r="A166" s="31">
        <v>5.8</v>
      </c>
      <c r="B166" s="31">
        <v>3.1</v>
      </c>
      <c r="C166" s="31">
        <v>1.6</v>
      </c>
      <c r="D166" s="31">
        <v>0.2</v>
      </c>
      <c r="E166" s="31" t="s">
        <v>5</v>
      </c>
      <c r="G166" s="32" t="s">
        <v>112</v>
      </c>
      <c r="H166" t="s">
        <v>111</v>
      </c>
    </row>
    <row r="167" spans="1:8" x14ac:dyDescent="0.25">
      <c r="A167" s="31">
        <v>5.7</v>
      </c>
      <c r="B167" s="31">
        <v>3</v>
      </c>
      <c r="C167" s="31">
        <v>1.4</v>
      </c>
      <c r="D167" s="31">
        <v>0.3</v>
      </c>
      <c r="E167" s="31" t="s">
        <v>5</v>
      </c>
      <c r="G167" s="32" t="s">
        <v>112</v>
      </c>
      <c r="H167" t="s">
        <v>111</v>
      </c>
    </row>
    <row r="168" spans="1:8" x14ac:dyDescent="0.25">
      <c r="A168" s="31">
        <v>5.4</v>
      </c>
      <c r="B168" s="31">
        <v>3</v>
      </c>
      <c r="C168" s="31">
        <v>1.4</v>
      </c>
      <c r="D168" s="31">
        <v>0.2</v>
      </c>
      <c r="E168" s="31" t="s">
        <v>5</v>
      </c>
      <c r="G168" s="32" t="s">
        <v>112</v>
      </c>
      <c r="H168" t="s">
        <v>111</v>
      </c>
    </row>
    <row r="169" spans="1:8" x14ac:dyDescent="0.25">
      <c r="A169" s="31">
        <v>5.0999999999999996</v>
      </c>
      <c r="B169" s="31">
        <v>3.1</v>
      </c>
      <c r="C169" s="31">
        <v>1.5</v>
      </c>
      <c r="D169" s="31">
        <v>0.1</v>
      </c>
      <c r="E169" s="31" t="s">
        <v>5</v>
      </c>
      <c r="G169" t="s">
        <v>111</v>
      </c>
      <c r="H169" t="s">
        <v>111</v>
      </c>
    </row>
    <row r="170" spans="1:8" x14ac:dyDescent="0.25">
      <c r="A170" s="31">
        <v>6.5</v>
      </c>
      <c r="B170" s="31">
        <v>2.2999999999999998</v>
      </c>
      <c r="C170" s="31">
        <v>4</v>
      </c>
      <c r="D170" s="31">
        <v>1.3</v>
      </c>
      <c r="E170" s="31" t="s">
        <v>6</v>
      </c>
      <c r="G170" t="s">
        <v>111</v>
      </c>
      <c r="H170" t="s">
        <v>111</v>
      </c>
    </row>
    <row r="171" spans="1:8" x14ac:dyDescent="0.25">
      <c r="A171" s="31">
        <v>5.7</v>
      </c>
      <c r="B171" s="31">
        <v>2.4</v>
      </c>
      <c r="C171" s="31">
        <v>3.8</v>
      </c>
      <c r="D171" s="31">
        <v>1.1000000000000001</v>
      </c>
      <c r="E171" s="31" t="s">
        <v>6</v>
      </c>
      <c r="G171" t="s">
        <v>111</v>
      </c>
      <c r="H171" t="s">
        <v>111</v>
      </c>
    </row>
    <row r="172" spans="1:8" x14ac:dyDescent="0.25">
      <c r="A172" s="31">
        <v>6.3</v>
      </c>
      <c r="B172" s="31">
        <v>2.4</v>
      </c>
      <c r="C172" s="31">
        <v>3.7</v>
      </c>
      <c r="D172" s="31">
        <v>1</v>
      </c>
      <c r="E172" s="31" t="s">
        <v>6</v>
      </c>
      <c r="G172" t="s">
        <v>111</v>
      </c>
      <c r="H172" t="s">
        <v>111</v>
      </c>
    </row>
    <row r="173" spans="1:8" x14ac:dyDescent="0.25">
      <c r="A173" s="31">
        <v>4.9000000000000004</v>
      </c>
      <c r="B173" s="31">
        <v>2.5</v>
      </c>
      <c r="C173" s="31">
        <v>4</v>
      </c>
      <c r="D173" s="31">
        <v>1.3</v>
      </c>
      <c r="E173" s="31" t="s">
        <v>6</v>
      </c>
      <c r="G173" s="32" t="s">
        <v>112</v>
      </c>
      <c r="H173" t="s">
        <v>111</v>
      </c>
    </row>
    <row r="174" spans="1:8" x14ac:dyDescent="0.25">
      <c r="A174" s="31">
        <v>6.6</v>
      </c>
      <c r="B174" s="31">
        <v>2.6</v>
      </c>
      <c r="C174" s="31">
        <v>4.4000000000000004</v>
      </c>
      <c r="D174" s="31">
        <v>1.2</v>
      </c>
      <c r="E174" s="31" t="s">
        <v>6</v>
      </c>
      <c r="G174" t="s">
        <v>111</v>
      </c>
      <c r="H174" t="s">
        <v>111</v>
      </c>
    </row>
    <row r="175" spans="1:8" x14ac:dyDescent="0.25">
      <c r="A175" s="31">
        <v>5.2</v>
      </c>
      <c r="B175" s="31">
        <v>2.9</v>
      </c>
      <c r="C175" s="31">
        <v>3.6</v>
      </c>
      <c r="D175" s="31">
        <v>1.3</v>
      </c>
      <c r="E175" s="31" t="s">
        <v>6</v>
      </c>
      <c r="G175" s="32" t="s">
        <v>112</v>
      </c>
      <c r="H175" t="s">
        <v>111</v>
      </c>
    </row>
    <row r="176" spans="1:8" x14ac:dyDescent="0.25">
      <c r="A176" s="31">
        <v>5</v>
      </c>
      <c r="B176" s="31">
        <v>3</v>
      </c>
      <c r="C176" s="31">
        <v>4.5</v>
      </c>
      <c r="D176" s="31">
        <v>1.5</v>
      </c>
      <c r="E176" s="31" t="s">
        <v>6</v>
      </c>
      <c r="G176" s="32" t="s">
        <v>112</v>
      </c>
      <c r="H176" t="s">
        <v>111</v>
      </c>
    </row>
    <row r="177" spans="1:8" x14ac:dyDescent="0.25">
      <c r="A177" s="31">
        <v>5.9</v>
      </c>
      <c r="B177" s="31">
        <v>2.5</v>
      </c>
      <c r="C177" s="31">
        <v>3.9</v>
      </c>
      <c r="D177" s="31">
        <v>1.1000000000000001</v>
      </c>
      <c r="E177" s="31" t="s">
        <v>6</v>
      </c>
      <c r="G177" t="s">
        <v>111</v>
      </c>
      <c r="H177" t="s">
        <v>111</v>
      </c>
    </row>
    <row r="178" spans="1:8" x14ac:dyDescent="0.25">
      <c r="A178" s="31">
        <v>6</v>
      </c>
      <c r="B178" s="31">
        <v>3</v>
      </c>
      <c r="C178" s="31">
        <v>4.0999999999999996</v>
      </c>
      <c r="D178" s="31">
        <v>1.3</v>
      </c>
      <c r="E178" s="31" t="s">
        <v>6</v>
      </c>
      <c r="G178" t="s">
        <v>111</v>
      </c>
      <c r="H178" t="s">
        <v>111</v>
      </c>
    </row>
    <row r="179" spans="1:8" x14ac:dyDescent="0.25">
      <c r="A179" s="31">
        <v>6.1</v>
      </c>
      <c r="B179" s="31">
        <v>2.7</v>
      </c>
      <c r="C179" s="31">
        <v>4.2</v>
      </c>
      <c r="D179" s="31">
        <v>1.3</v>
      </c>
      <c r="E179" s="31" t="s">
        <v>6</v>
      </c>
      <c r="G179" t="s">
        <v>111</v>
      </c>
      <c r="H179" t="s">
        <v>111</v>
      </c>
    </row>
    <row r="180" spans="1:8" x14ac:dyDescent="0.25">
      <c r="A180" s="31">
        <v>6</v>
      </c>
      <c r="B180" s="31">
        <v>3</v>
      </c>
      <c r="C180" s="31">
        <v>5.9</v>
      </c>
      <c r="D180" s="31">
        <v>2.1</v>
      </c>
      <c r="E180" s="31" t="s">
        <v>7</v>
      </c>
      <c r="G180" s="32" t="s">
        <v>112</v>
      </c>
      <c r="H180" t="s">
        <v>111</v>
      </c>
    </row>
    <row r="181" spans="1:8" x14ac:dyDescent="0.25">
      <c r="A181" s="31">
        <v>6.9</v>
      </c>
      <c r="B181" s="31">
        <v>3.6</v>
      </c>
      <c r="C181" s="31">
        <v>6.1</v>
      </c>
      <c r="D181" s="31">
        <v>2.5</v>
      </c>
      <c r="E181" s="31" t="s">
        <v>7</v>
      </c>
      <c r="G181" s="32" t="s">
        <v>112</v>
      </c>
      <c r="H181" t="s">
        <v>111</v>
      </c>
    </row>
    <row r="182" spans="1:8" x14ac:dyDescent="0.25">
      <c r="A182" s="31">
        <v>6.7</v>
      </c>
      <c r="B182" s="31">
        <v>3.2</v>
      </c>
      <c r="C182" s="31">
        <v>6</v>
      </c>
      <c r="D182" s="31">
        <v>1.8</v>
      </c>
      <c r="E182" s="31" t="s">
        <v>7</v>
      </c>
      <c r="G182" t="s">
        <v>111</v>
      </c>
      <c r="H182" t="s">
        <v>111</v>
      </c>
    </row>
    <row r="183" spans="1:8" x14ac:dyDescent="0.25">
      <c r="A183" s="31">
        <v>6.9</v>
      </c>
      <c r="B183" s="31">
        <v>3</v>
      </c>
      <c r="C183" s="31">
        <v>5.8</v>
      </c>
      <c r="D183" s="31">
        <v>1.6</v>
      </c>
      <c r="E183" s="31" t="s">
        <v>7</v>
      </c>
      <c r="G183" t="s">
        <v>111</v>
      </c>
      <c r="H183" s="32" t="s">
        <v>112</v>
      </c>
    </row>
    <row r="184" spans="1:8" x14ac:dyDescent="0.25">
      <c r="A184" s="31">
        <v>5.8</v>
      </c>
      <c r="B184" s="31">
        <v>2.9</v>
      </c>
      <c r="C184" s="31">
        <v>6.3</v>
      </c>
      <c r="D184" s="31">
        <v>1.8</v>
      </c>
      <c r="E184" s="31" t="s">
        <v>7</v>
      </c>
      <c r="G184" t="s">
        <v>111</v>
      </c>
      <c r="H184" t="s">
        <v>111</v>
      </c>
    </row>
    <row r="185" spans="1:8" x14ac:dyDescent="0.25">
      <c r="A185" s="31">
        <v>6.8</v>
      </c>
      <c r="B185" s="31">
        <v>2.8</v>
      </c>
      <c r="C185" s="31">
        <v>6.1</v>
      </c>
      <c r="D185" s="31">
        <v>1.9</v>
      </c>
      <c r="E185" s="31" t="s">
        <v>7</v>
      </c>
      <c r="G185" t="s">
        <v>111</v>
      </c>
      <c r="H185" t="s">
        <v>111</v>
      </c>
    </row>
    <row r="186" spans="1:8" x14ac:dyDescent="0.25">
      <c r="A186" s="31">
        <v>6.7</v>
      </c>
      <c r="B186" s="31">
        <v>3</v>
      </c>
      <c r="C186" s="31">
        <v>6.6</v>
      </c>
      <c r="D186" s="31">
        <v>2.1</v>
      </c>
      <c r="E186" s="31" t="s">
        <v>7</v>
      </c>
      <c r="G186" t="s">
        <v>111</v>
      </c>
      <c r="H186" t="s">
        <v>111</v>
      </c>
    </row>
    <row r="187" spans="1:8" x14ac:dyDescent="0.25">
      <c r="A187" s="31">
        <v>6.7</v>
      </c>
      <c r="B187" s="31">
        <v>3.8</v>
      </c>
      <c r="C187" s="31">
        <v>6.7</v>
      </c>
      <c r="D187" s="31">
        <v>2.2000000000000002</v>
      </c>
      <c r="E187" s="31" t="s">
        <v>7</v>
      </c>
      <c r="G187" s="32" t="s">
        <v>112</v>
      </c>
      <c r="H187" t="s">
        <v>111</v>
      </c>
    </row>
    <row r="188" spans="1:8" x14ac:dyDescent="0.25">
      <c r="A188" s="31">
        <v>6.3</v>
      </c>
      <c r="B188" s="31">
        <v>2.6</v>
      </c>
      <c r="C188" s="31">
        <v>6.9</v>
      </c>
      <c r="D188" s="31">
        <v>2.2999999999999998</v>
      </c>
      <c r="E188" s="31" t="s">
        <v>7</v>
      </c>
      <c r="G188" t="s">
        <v>111</v>
      </c>
      <c r="H188" t="s">
        <v>111</v>
      </c>
    </row>
    <row r="189" spans="1:8" x14ac:dyDescent="0.25">
      <c r="A189" s="31">
        <v>6.5</v>
      </c>
      <c r="B189" s="31">
        <v>2.8</v>
      </c>
      <c r="C189" s="31">
        <v>6.7</v>
      </c>
      <c r="D189" s="31">
        <v>2</v>
      </c>
      <c r="E189" s="31" t="s">
        <v>7</v>
      </c>
      <c r="G189" t="s">
        <v>111</v>
      </c>
      <c r="H189" t="s">
        <v>111</v>
      </c>
    </row>
  </sheetData>
  <sortState ref="AM2:AN189">
    <sortCondition ref="AM1"/>
  </sortState>
  <mergeCells count="119">
    <mergeCell ref="AU38:AU39"/>
    <mergeCell ref="AU40:AU41"/>
    <mergeCell ref="AU42:AU43"/>
    <mergeCell ref="AU26:AU27"/>
    <mergeCell ref="AU28:AU29"/>
    <mergeCell ref="AU30:AU31"/>
    <mergeCell ref="AU32:AU33"/>
    <mergeCell ref="AU34:AU35"/>
    <mergeCell ref="AU36:AU37"/>
    <mergeCell ref="AU14:AU15"/>
    <mergeCell ref="AU16:AU17"/>
    <mergeCell ref="AU18:AU19"/>
    <mergeCell ref="AU20:AU21"/>
    <mergeCell ref="AU22:AU23"/>
    <mergeCell ref="AU24:AU25"/>
    <mergeCell ref="AU2:AU3"/>
    <mergeCell ref="AU4:AU5"/>
    <mergeCell ref="AU6:AU7"/>
    <mergeCell ref="AU8:AU9"/>
    <mergeCell ref="AU10:AU11"/>
    <mergeCell ref="AU12:AU13"/>
    <mergeCell ref="AK74:AK75"/>
    <mergeCell ref="AK76:AK77"/>
    <mergeCell ref="AK78:AK79"/>
    <mergeCell ref="AK80:AK81"/>
    <mergeCell ref="AK82:AK83"/>
    <mergeCell ref="AK84:AK85"/>
    <mergeCell ref="AK62:AK63"/>
    <mergeCell ref="AK64:AK65"/>
    <mergeCell ref="AK66:AK67"/>
    <mergeCell ref="AK68:AK69"/>
    <mergeCell ref="AK70:AK71"/>
    <mergeCell ref="AK72:AK73"/>
    <mergeCell ref="AK52:AK53"/>
    <mergeCell ref="AK54:AK55"/>
    <mergeCell ref="AK56:AK57"/>
    <mergeCell ref="AK58:AK59"/>
    <mergeCell ref="AK60:AK61"/>
    <mergeCell ref="AK38:AK39"/>
    <mergeCell ref="AK40:AK41"/>
    <mergeCell ref="AK42:AK43"/>
    <mergeCell ref="AK44:AK45"/>
    <mergeCell ref="AK46:AK47"/>
    <mergeCell ref="AK48:AK49"/>
    <mergeCell ref="AK34:AK35"/>
    <mergeCell ref="AK36:AK37"/>
    <mergeCell ref="AK14:AK15"/>
    <mergeCell ref="AK16:AK17"/>
    <mergeCell ref="AK18:AK19"/>
    <mergeCell ref="AK20:AK21"/>
    <mergeCell ref="AK22:AK23"/>
    <mergeCell ref="AK24:AK25"/>
    <mergeCell ref="AK50:AK51"/>
    <mergeCell ref="AA42:AA43"/>
    <mergeCell ref="AA44:AA45"/>
    <mergeCell ref="AK2:AK3"/>
    <mergeCell ref="AK4:AK5"/>
    <mergeCell ref="AK6:AK7"/>
    <mergeCell ref="AK8:AK9"/>
    <mergeCell ref="AK10:AK11"/>
    <mergeCell ref="AK12:AK13"/>
    <mergeCell ref="AA26:AA27"/>
    <mergeCell ref="AA28:AA29"/>
    <mergeCell ref="AA30:AA31"/>
    <mergeCell ref="AA32:AA33"/>
    <mergeCell ref="AA34:AA35"/>
    <mergeCell ref="AA36:AA37"/>
    <mergeCell ref="AA14:AA15"/>
    <mergeCell ref="AA16:AA17"/>
    <mergeCell ref="AA18:AA19"/>
    <mergeCell ref="AA20:AA21"/>
    <mergeCell ref="AA22:AA23"/>
    <mergeCell ref="AA24:AA25"/>
    <mergeCell ref="AK26:AK27"/>
    <mergeCell ref="AK28:AK29"/>
    <mergeCell ref="AK30:AK31"/>
    <mergeCell ref="AK32:AK33"/>
    <mergeCell ref="Q66:Q67"/>
    <mergeCell ref="Q68:Q69"/>
    <mergeCell ref="AA2:AA3"/>
    <mergeCell ref="AA4:AA5"/>
    <mergeCell ref="AA6:AA7"/>
    <mergeCell ref="AA8:AA9"/>
    <mergeCell ref="AA10:AA11"/>
    <mergeCell ref="AA12:AA13"/>
    <mergeCell ref="Q50:Q51"/>
    <mergeCell ref="Q52:Q53"/>
    <mergeCell ref="Q54:Q55"/>
    <mergeCell ref="Q56:Q57"/>
    <mergeCell ref="Q58:Q59"/>
    <mergeCell ref="Q60:Q61"/>
    <mergeCell ref="Q38:Q39"/>
    <mergeCell ref="Q40:Q41"/>
    <mergeCell ref="Q42:Q43"/>
    <mergeCell ref="Q44:Q45"/>
    <mergeCell ref="Q46:Q47"/>
    <mergeCell ref="Q48:Q49"/>
    <mergeCell ref="Q26:Q27"/>
    <mergeCell ref="Q28:Q29"/>
    <mergeCell ref="AA38:AA39"/>
    <mergeCell ref="AA40:AA41"/>
    <mergeCell ref="Q36:Q37"/>
    <mergeCell ref="Q14:Q15"/>
    <mergeCell ref="Q16:Q17"/>
    <mergeCell ref="Q18:Q19"/>
    <mergeCell ref="Q20:Q21"/>
    <mergeCell ref="Q22:Q23"/>
    <mergeCell ref="Q24:Q25"/>
    <mergeCell ref="Q62:Q63"/>
    <mergeCell ref="Q64:Q65"/>
    <mergeCell ref="Q2:Q3"/>
    <mergeCell ref="Q4:Q5"/>
    <mergeCell ref="Q6:Q7"/>
    <mergeCell ref="Q8:Q9"/>
    <mergeCell ref="Q10:Q11"/>
    <mergeCell ref="Q12:Q13"/>
    <mergeCell ref="Q30:Q31"/>
    <mergeCell ref="Q32:Q33"/>
    <mergeCell ref="Q34:Q3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1"/>
  <sheetViews>
    <sheetView topLeftCell="N1" zoomScale="70" zoomScaleNormal="70" workbookViewId="0">
      <selection activeCell="AM1" sqref="AM1:AQ31"/>
    </sheetView>
  </sheetViews>
  <sheetFormatPr defaultRowHeight="15" x14ac:dyDescent="0.25"/>
  <cols>
    <col min="9" max="9" width="9.140625" style="1"/>
    <col min="16" max="16" width="9.140625" style="2"/>
    <col min="18" max="18" width="9.140625" style="1"/>
    <col min="25" max="25" width="9.140625" style="2"/>
    <col min="27" max="27" width="9.140625" style="1"/>
    <col min="34" max="34" width="9.140625" style="2"/>
    <col min="36" max="36" width="9.140625" style="1"/>
    <col min="43" max="43" width="9.140625" style="2"/>
  </cols>
  <sheetData>
    <row r="1" spans="1:43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I1" s="1" t="s">
        <v>0</v>
      </c>
      <c r="J1" t="s">
        <v>23</v>
      </c>
      <c r="L1" s="31"/>
      <c r="M1" s="31"/>
      <c r="N1" s="31" t="s">
        <v>16</v>
      </c>
      <c r="O1" s="31" t="s">
        <v>15</v>
      </c>
      <c r="P1" s="33" t="s">
        <v>24</v>
      </c>
      <c r="R1" s="1" t="s">
        <v>1</v>
      </c>
      <c r="S1" t="s">
        <v>17</v>
      </c>
      <c r="U1" s="31"/>
      <c r="V1" s="31"/>
      <c r="W1" s="31" t="s">
        <v>16</v>
      </c>
      <c r="X1" s="31" t="s">
        <v>15</v>
      </c>
      <c r="Y1" s="33" t="s">
        <v>24</v>
      </c>
      <c r="AA1" s="1" t="s">
        <v>2</v>
      </c>
      <c r="AB1" t="s">
        <v>17</v>
      </c>
      <c r="AF1" t="s">
        <v>16</v>
      </c>
      <c r="AG1" t="s">
        <v>15</v>
      </c>
      <c r="AH1" s="2" t="s">
        <v>24</v>
      </c>
      <c r="AJ1" s="1" t="s">
        <v>3</v>
      </c>
      <c r="AK1" t="s">
        <v>17</v>
      </c>
      <c r="AM1" s="31"/>
      <c r="AN1" s="31"/>
      <c r="AO1" s="31" t="s">
        <v>16</v>
      </c>
      <c r="AP1" s="31" t="s">
        <v>15</v>
      </c>
      <c r="AQ1" s="33" t="s">
        <v>24</v>
      </c>
    </row>
    <row r="2" spans="1:43" x14ac:dyDescent="0.25">
      <c r="A2">
        <v>5.4</v>
      </c>
      <c r="B2">
        <v>2.4</v>
      </c>
      <c r="C2">
        <v>3.3</v>
      </c>
      <c r="D2">
        <v>1</v>
      </c>
      <c r="E2" t="s">
        <v>6</v>
      </c>
      <c r="I2" s="1">
        <v>4.8</v>
      </c>
      <c r="J2">
        <f>AVERAGE(I2,I3)</f>
        <v>4.8499999999999996</v>
      </c>
      <c r="L2" s="31">
        <v>4.8499999999999996</v>
      </c>
      <c r="M2" s="31" t="s">
        <v>9</v>
      </c>
      <c r="N2" s="31">
        <f>COUNTIFS(A2:A81, "&lt;4.85", E2:E81,"Iris-versicolor")</f>
        <v>1</v>
      </c>
      <c r="O2" s="31">
        <f>COUNTIFS(A2:A81, "&lt;4.85", E2:E81,"Iris-virginica")</f>
        <v>0</v>
      </c>
      <c r="P2" s="34">
        <f>(1-POWER(N2/SUM(N2,O2),2)-POWER(O2/SUM(N2,O2),2))*SUM(N2,O2)/80 + (1-POWER(N3/SUM(N3,O3),2)-POWER(O3/SUM(N3,O3),2))*SUM(N3,O3)/80</f>
        <v>0.49367088607594933</v>
      </c>
      <c r="R2" s="1">
        <v>2</v>
      </c>
      <c r="S2">
        <f>AVERAGE(R2,R3)</f>
        <v>2.1</v>
      </c>
      <c r="U2" s="31">
        <v>2.15</v>
      </c>
      <c r="V2" s="31" t="s">
        <v>9</v>
      </c>
      <c r="W2" s="31">
        <f>COUNTIFS(B2:B81, "&lt;2.15", E2:E81,"Iris-versicolor")</f>
        <v>1</v>
      </c>
      <c r="X2" s="31">
        <f>COUNTIFS(B2:B81, "&lt;2.15", E2:E81,"Iris-virginica")</f>
        <v>0</v>
      </c>
      <c r="Y2" s="34">
        <f>(1-POWER(W2/SUM(W2,X2),2)-POWER(X2/SUM(W2,X2),2))*SUM(W2,X2)/80 + (1-POWER(W3/SUM(W3,X3),2)-POWER(X3/SUM(W3,X3),2))*SUM(W3,X3)/80</f>
        <v>0.49367088607594933</v>
      </c>
      <c r="AA2" s="1">
        <v>3</v>
      </c>
      <c r="AB2">
        <f>AVERAGE(AA2,AA3)</f>
        <v>3.15</v>
      </c>
      <c r="AD2">
        <v>3.15</v>
      </c>
      <c r="AE2" t="s">
        <v>9</v>
      </c>
      <c r="AF2">
        <f>COUNTIFS(C2:C81, "&lt;3.15", E2:E81,"Iris-versicolor")</f>
        <v>1</v>
      </c>
      <c r="AG2">
        <f>COUNTIFS(C2:C81, "&lt;3.15", E2:E81,"Iris-virginica")</f>
        <v>0</v>
      </c>
      <c r="AH2" s="25">
        <f>(1-POWER(AF2/SUM(AF2,AG2),2)-POWER(AG2/SUM(AF2,AG2),2))*SUM(AF2,AG2)/80 + (1-POWER(AF3/SUM(AF3,AG3),2)-POWER(AG3/SUM(AF3,AG3),2))*SUM(AF3,AG3)/80</f>
        <v>0.49367088607594933</v>
      </c>
      <c r="AJ2" s="1">
        <v>1</v>
      </c>
      <c r="AK2">
        <f>AVERAGE(AJ2,AJ3)</f>
        <v>1.05</v>
      </c>
      <c r="AM2" s="31">
        <v>1.05</v>
      </c>
      <c r="AN2" s="31" t="s">
        <v>9</v>
      </c>
      <c r="AO2" s="31">
        <f>COUNTIFS(D2:D81, "&lt;1.05", E2:E81,"Iris-versicolor")</f>
        <v>6</v>
      </c>
      <c r="AP2" s="31">
        <f>COUNTIFS(D2:D81, "&lt;1.05", E2:E81,"Iris-virginica")</f>
        <v>0</v>
      </c>
      <c r="AQ2" s="34">
        <f>(1-POWER(AO2/SUM(AO2,AP2),2)-POWER(AP2/SUM(AO2,AP2),2))*SUM(AO2,AP2)/80 + (1-POWER(AO3/SUM(AO3,AP3),2)-POWER(AP3/SUM(AO3,AP3),2))*SUM(AO3,AP3)/80</f>
        <v>0.45945945945945948</v>
      </c>
    </row>
    <row r="3" spans="1:43" x14ac:dyDescent="0.25">
      <c r="A3">
        <v>5.0999999999999996</v>
      </c>
      <c r="B3">
        <v>2.5</v>
      </c>
      <c r="C3">
        <v>4.5</v>
      </c>
      <c r="D3">
        <v>1.7</v>
      </c>
      <c r="E3" s="5" t="s">
        <v>7</v>
      </c>
      <c r="F3" s="5"/>
      <c r="I3" s="1">
        <v>4.9000000000000004</v>
      </c>
      <c r="J3">
        <f t="shared" ref="J3:J27" si="0">AVERAGE(I3,I4)</f>
        <v>4.95</v>
      </c>
      <c r="L3" s="31"/>
      <c r="M3" s="31" t="s">
        <v>10</v>
      </c>
      <c r="N3" s="31">
        <f>COUNTIFS(A2:A81, "&gt;=4.85", E2:E81,"Iris-versicolor")</f>
        <v>39</v>
      </c>
      <c r="O3" s="31">
        <v>40</v>
      </c>
      <c r="P3" s="34"/>
      <c r="R3" s="1">
        <v>2.2000000000000002</v>
      </c>
      <c r="S3">
        <f>AVERAGE(R3,R4)</f>
        <v>2.25</v>
      </c>
      <c r="U3" s="31"/>
      <c r="V3" s="31" t="s">
        <v>10</v>
      </c>
      <c r="W3" s="31">
        <v>39</v>
      </c>
      <c r="X3" s="31">
        <v>40</v>
      </c>
      <c r="Y3" s="34"/>
      <c r="AA3" s="1">
        <v>3.3</v>
      </c>
      <c r="AB3">
        <f t="shared" ref="AB3:AB27" si="1">AVERAGE(AA3,AA4)</f>
        <v>3.4</v>
      </c>
      <c r="AE3" t="s">
        <v>10</v>
      </c>
      <c r="AF3">
        <v>39</v>
      </c>
      <c r="AG3">
        <f>40-AG2</f>
        <v>40</v>
      </c>
      <c r="AH3" s="25"/>
      <c r="AJ3" s="1">
        <v>1.1000000000000001</v>
      </c>
      <c r="AK3">
        <f t="shared" ref="AK3:AK16" si="2">AVERAGE(AJ3,AJ4)</f>
        <v>1.1499999999999999</v>
      </c>
      <c r="AM3" s="31"/>
      <c r="AN3" s="31" t="s">
        <v>10</v>
      </c>
      <c r="AO3" s="31">
        <v>34</v>
      </c>
      <c r="AP3" s="31">
        <v>40</v>
      </c>
      <c r="AQ3" s="34"/>
    </row>
    <row r="4" spans="1:43" x14ac:dyDescent="0.25">
      <c r="A4">
        <v>4.8</v>
      </c>
      <c r="B4">
        <v>2</v>
      </c>
      <c r="C4">
        <v>3.5</v>
      </c>
      <c r="D4">
        <v>1</v>
      </c>
      <c r="E4" t="s">
        <v>6</v>
      </c>
      <c r="I4" s="1">
        <v>5</v>
      </c>
      <c r="J4">
        <f t="shared" si="0"/>
        <v>5.05</v>
      </c>
      <c r="L4" s="31">
        <v>4.95</v>
      </c>
      <c r="M4" s="31" t="s">
        <v>9</v>
      </c>
      <c r="N4" s="31">
        <f>COUNTIFS(A2:A81, "&lt;4.95", E2:E81,"Iris-versicolor")</f>
        <v>1</v>
      </c>
      <c r="O4" s="31">
        <f>COUNTIFS(A2:A81, "&lt;4.95", E2:E81,"Iris-virginica")</f>
        <v>1</v>
      </c>
      <c r="P4" s="34">
        <f t="shared" ref="P4" si="3">(1-POWER(N4/SUM(N4,O4),2)-POWER(O4/SUM(N4,O4),2))*SUM(N4,O4)/80 + (1-POWER(N5/SUM(N5,O5),2)-POWER(O5/SUM(N5,O5),2))*SUM(N5,O5)/80</f>
        <v>0.5</v>
      </c>
      <c r="R4" s="1">
        <v>2.2999999999999998</v>
      </c>
      <c r="S4">
        <f t="shared" ref="S4:S15" si="4">AVERAGE(R4,R5)</f>
        <v>2.3499999999999996</v>
      </c>
      <c r="U4" s="31">
        <v>2.25</v>
      </c>
      <c r="V4" s="31" t="s">
        <v>9</v>
      </c>
      <c r="W4" s="31">
        <f>COUNTIFS(B2:B81, "&lt;2.25", E2:E81,"Iris-versicolor")</f>
        <v>3</v>
      </c>
      <c r="X4" s="31">
        <f>COUNTIFS(B2:B81, "&lt;2.25", E2:E81,"Iris-virginica")</f>
        <v>1</v>
      </c>
      <c r="Y4" s="34">
        <f t="shared" ref="Y4" si="5">(1-POWER(W4/SUM(W4,X4),2)-POWER(X4/SUM(W4,X4),2))*SUM(W4,X4)/80 + (1-POWER(W5/SUM(W5,X5),2)-POWER(X5/SUM(W5,X5),2))*SUM(W5,X5)/80</f>
        <v>0.49342105263157893</v>
      </c>
      <c r="AA4" s="1">
        <v>3.5</v>
      </c>
      <c r="AB4">
        <f t="shared" si="1"/>
        <v>3.7</v>
      </c>
      <c r="AD4">
        <v>3.4</v>
      </c>
      <c r="AE4" t="s">
        <v>9</v>
      </c>
      <c r="AF4">
        <f>COUNTIFS(C2:C81, "&lt;3.4", E2:E81,"Iris-versicolor")</f>
        <v>3</v>
      </c>
      <c r="AG4">
        <f t="shared" ref="AG4:AG19" si="6">40-AG3</f>
        <v>0</v>
      </c>
      <c r="AH4" s="25">
        <f t="shared" ref="AH4" si="7">(1-POWER(AF4/SUM(AF4,AG4),2)-POWER(AG4/SUM(AF4,AG4),2))*SUM(AF4,AG4)/80 + (1-POWER(AF5/SUM(AF5,AG5),2)-POWER(AG5/SUM(AF5,AG5),2))*SUM(AF5,AG5)/80</f>
        <v>0.48051948051948062</v>
      </c>
      <c r="AJ4" s="1">
        <v>1.2</v>
      </c>
      <c r="AK4">
        <f t="shared" si="2"/>
        <v>1.25</v>
      </c>
      <c r="AM4" s="31">
        <v>1.1499999999999999</v>
      </c>
      <c r="AN4" s="31" t="s">
        <v>9</v>
      </c>
      <c r="AO4" s="31">
        <f>COUNTIFS(D2:D81, "&lt;1.15", E2:E81,"Iris-versicolor")</f>
        <v>7</v>
      </c>
      <c r="AP4" s="31">
        <f>COUNTIFS(D2:D81, "&lt;1.15", E2:E81,"Iris-virginica")</f>
        <v>0</v>
      </c>
      <c r="AQ4" s="34">
        <f t="shared" ref="AQ4" si="8">(1-POWER(AO4/SUM(AO4,AP4),2)-POWER(AP4/SUM(AO4,AP4),2))*SUM(AO4,AP4)/80 + (1-POWER(AO5/SUM(AO5,AP5),2)-POWER(AP5/SUM(AO5,AP5),2))*SUM(AO5,AP5)/80</f>
        <v>0.45205479452054798</v>
      </c>
    </row>
    <row r="5" spans="1:43" x14ac:dyDescent="0.25">
      <c r="A5">
        <v>5.4</v>
      </c>
      <c r="B5">
        <v>2.2999999999999998</v>
      </c>
      <c r="C5">
        <v>3.3</v>
      </c>
      <c r="D5">
        <v>1</v>
      </c>
      <c r="E5" t="s">
        <v>6</v>
      </c>
      <c r="I5" s="1">
        <v>5.0999999999999996</v>
      </c>
      <c r="J5">
        <f t="shared" si="0"/>
        <v>5.25</v>
      </c>
      <c r="L5" s="31"/>
      <c r="M5" s="31" t="s">
        <v>10</v>
      </c>
      <c r="N5" s="31">
        <f>COUNTIFS(A2:A81, "&gt;=4.95", E2:E81,"Iris-versicolor")</f>
        <v>39</v>
      </c>
      <c r="O5" s="31">
        <v>39</v>
      </c>
      <c r="P5" s="34"/>
      <c r="R5" s="1">
        <v>2.4</v>
      </c>
      <c r="S5">
        <f t="shared" si="4"/>
        <v>2.4500000000000002</v>
      </c>
      <c r="U5" s="31"/>
      <c r="V5" s="31" t="s">
        <v>10</v>
      </c>
      <c r="W5" s="31">
        <v>37</v>
      </c>
      <c r="X5" s="31">
        <v>39</v>
      </c>
      <c r="Y5" s="34"/>
      <c r="AA5" s="1">
        <v>3.9</v>
      </c>
      <c r="AB5">
        <f t="shared" si="1"/>
        <v>3.95</v>
      </c>
      <c r="AE5" t="s">
        <v>10</v>
      </c>
      <c r="AF5">
        <v>37</v>
      </c>
      <c r="AG5">
        <f t="shared" si="6"/>
        <v>40</v>
      </c>
      <c r="AH5" s="25"/>
      <c r="AJ5" s="1">
        <v>1.3</v>
      </c>
      <c r="AK5">
        <f t="shared" si="2"/>
        <v>1.35</v>
      </c>
      <c r="AM5" s="31"/>
      <c r="AN5" s="31" t="s">
        <v>10</v>
      </c>
      <c r="AO5" s="31">
        <v>33</v>
      </c>
      <c r="AP5" s="31">
        <v>40</v>
      </c>
      <c r="AQ5" s="34"/>
    </row>
    <row r="6" spans="1:43" x14ac:dyDescent="0.25">
      <c r="A6">
        <v>5</v>
      </c>
      <c r="B6">
        <v>2.5</v>
      </c>
      <c r="C6">
        <v>3</v>
      </c>
      <c r="D6">
        <v>1.1000000000000001</v>
      </c>
      <c r="E6" t="s">
        <v>6</v>
      </c>
      <c r="I6" s="1">
        <v>5.4</v>
      </c>
      <c r="J6">
        <f t="shared" si="0"/>
        <v>5.45</v>
      </c>
      <c r="L6" s="31">
        <v>5.05</v>
      </c>
      <c r="M6" s="31" t="s">
        <v>9</v>
      </c>
      <c r="N6" s="31">
        <f>COUNTIFS(A2:A81, "&lt;5.05", E2:E81,"Iris-versicolor")</f>
        <v>2</v>
      </c>
      <c r="O6" s="31">
        <f>COUNTIFS(A2:A81, "&lt;5.05", E2:E81,"Iris-virginica")</f>
        <v>2</v>
      </c>
      <c r="P6" s="34">
        <f t="shared" ref="P6" si="9">(1-POWER(N6/SUM(N6,O6),2)-POWER(O6/SUM(N6,O6),2))*SUM(N6,O6)/80 + (1-POWER(N7/SUM(N7,O7),2)-POWER(O7/SUM(N7,O7),2))*SUM(N7,O7)/80</f>
        <v>0.5</v>
      </c>
      <c r="R6" s="1">
        <v>2.5</v>
      </c>
      <c r="S6">
        <f t="shared" si="4"/>
        <v>2.5499999999999998</v>
      </c>
      <c r="U6" s="31">
        <v>2.35</v>
      </c>
      <c r="V6" s="31" t="s">
        <v>9</v>
      </c>
      <c r="W6" s="31">
        <f>COUNTIFS(B2:B81, "&lt;2.35", E2:E81,"Iris-versicolor")</f>
        <v>5</v>
      </c>
      <c r="X6" s="31">
        <f>COUNTIFS(B2:B81, "&lt;2.35", E2:E81,"Iris-virginica")</f>
        <v>1</v>
      </c>
      <c r="Y6" s="34">
        <f t="shared" ref="Y6" si="10">(1-POWER(W6/SUM(W6,X6),2)-POWER(X6/SUM(W6,X6),2))*SUM(W6,X6)/80 + (1-POWER(W7/SUM(W7,X7),2)-POWER(X7/SUM(W7,X7),2))*SUM(W7,X7)/80</f>
        <v>0.481981981981982</v>
      </c>
      <c r="AA6" s="1">
        <v>4</v>
      </c>
      <c r="AB6">
        <f t="shared" si="1"/>
        <v>4.05</v>
      </c>
      <c r="AD6">
        <v>3.7</v>
      </c>
      <c r="AE6" t="s">
        <v>9</v>
      </c>
      <c r="AF6">
        <f>COUNTIFS(C2:C81, "&lt;3.7", E2:E81,"Iris-versicolor")</f>
        <v>5</v>
      </c>
      <c r="AG6">
        <f t="shared" si="6"/>
        <v>0</v>
      </c>
      <c r="AH6" s="25">
        <f t="shared" ref="AH6" si="11">(1-POWER(AF6/SUM(AF6,AG6),2)-POWER(AG6/SUM(AF6,AG6),2))*SUM(AF6,AG6)/80 + (1-POWER(AF7/SUM(AF7,AG7),2)-POWER(AG7/SUM(AF7,AG7),2))*SUM(AF7,AG7)/80</f>
        <v>0.46666666666666662</v>
      </c>
      <c r="AJ6" s="1">
        <v>1.4</v>
      </c>
      <c r="AK6">
        <f t="shared" si="2"/>
        <v>1.45</v>
      </c>
      <c r="AM6" s="31">
        <v>1.25</v>
      </c>
      <c r="AN6" s="31" t="s">
        <v>9</v>
      </c>
      <c r="AO6" s="31">
        <f>COUNTIFS(D2:D81, "&lt;1.25", E2:E81,"Iris-versicolor")</f>
        <v>11</v>
      </c>
      <c r="AP6" s="31">
        <f>COUNTIFS(D2:D81, "&lt;1.25", E2:E81,"Iris-virginica")</f>
        <v>0</v>
      </c>
      <c r="AQ6" s="34">
        <f t="shared" ref="AQ6" si="12">(1-POWER(AO6/SUM(AO6,AP6),2)-POWER(AP6/SUM(AO6,AP6),2))*SUM(AO6,AP6)/80 + (1-POWER(AO7/SUM(AO7,AP7),2)-POWER(AP7/SUM(AO7,AP7),2))*SUM(AO7,AP7)/80</f>
        <v>0.42028985507246375</v>
      </c>
    </row>
    <row r="7" spans="1:43" x14ac:dyDescent="0.25">
      <c r="A7">
        <v>5.0999999999999996</v>
      </c>
      <c r="B7">
        <v>2.7</v>
      </c>
      <c r="C7">
        <v>3.9</v>
      </c>
      <c r="D7">
        <v>1.4</v>
      </c>
      <c r="E7" t="s">
        <v>6</v>
      </c>
      <c r="I7" s="1">
        <v>5.5</v>
      </c>
      <c r="J7">
        <f t="shared" si="0"/>
        <v>5.55</v>
      </c>
      <c r="L7" s="31"/>
      <c r="M7" s="31" t="s">
        <v>10</v>
      </c>
      <c r="N7" s="31">
        <v>38</v>
      </c>
      <c r="O7" s="31">
        <v>38</v>
      </c>
      <c r="P7" s="34"/>
      <c r="R7" s="1">
        <v>2.6</v>
      </c>
      <c r="S7">
        <f t="shared" si="4"/>
        <v>2.6500000000000004</v>
      </c>
      <c r="U7" s="31"/>
      <c r="V7" s="31" t="s">
        <v>10</v>
      </c>
      <c r="W7" s="31">
        <v>35</v>
      </c>
      <c r="X7" s="31">
        <v>39</v>
      </c>
      <c r="Y7" s="34"/>
      <c r="AA7" s="1">
        <v>4.0999999999999996</v>
      </c>
      <c r="AB7">
        <f t="shared" si="1"/>
        <v>4.1500000000000004</v>
      </c>
      <c r="AE7" t="s">
        <v>10</v>
      </c>
      <c r="AF7">
        <v>35</v>
      </c>
      <c r="AG7">
        <f t="shared" si="6"/>
        <v>40</v>
      </c>
      <c r="AH7" s="25"/>
      <c r="AJ7" s="1">
        <v>1.5</v>
      </c>
      <c r="AK7">
        <f t="shared" si="2"/>
        <v>1.55</v>
      </c>
      <c r="AM7" s="31"/>
      <c r="AN7" s="31" t="s">
        <v>10</v>
      </c>
      <c r="AO7" s="31">
        <v>29</v>
      </c>
      <c r="AP7" s="31">
        <v>40</v>
      </c>
      <c r="AQ7" s="34"/>
    </row>
    <row r="8" spans="1:43" x14ac:dyDescent="0.25">
      <c r="A8">
        <v>6.4</v>
      </c>
      <c r="B8">
        <v>3</v>
      </c>
      <c r="C8">
        <v>4.5</v>
      </c>
      <c r="D8">
        <v>1.5</v>
      </c>
      <c r="E8" t="s">
        <v>6</v>
      </c>
      <c r="I8" s="1">
        <v>5.6</v>
      </c>
      <c r="J8">
        <f t="shared" si="0"/>
        <v>5.65</v>
      </c>
      <c r="L8" s="31">
        <v>5.25</v>
      </c>
      <c r="M8" s="31" t="s">
        <v>9</v>
      </c>
      <c r="N8" s="31">
        <f>COUNTIFS(A2:A81, "&lt;5.25", E2:E81,"Iris-versicolor")</f>
        <v>3</v>
      </c>
      <c r="O8" s="31">
        <f>COUNTIFS(A2:A81, "&lt;5.25", E2:E81,"Iris-virginica")</f>
        <v>4</v>
      </c>
      <c r="P8" s="34">
        <f t="shared" ref="P8" si="13">(1-POWER(N8/SUM(N8,O8),2)-POWER(O8/SUM(N8,O8),2))*SUM(N8,O8)/80 + (1-POWER(N9/SUM(N9,O9),2)-POWER(O9/SUM(N9,O9),2))*SUM(N9,O9)/80</f>
        <v>0.49902152641878672</v>
      </c>
      <c r="R8" s="1">
        <v>2.7</v>
      </c>
      <c r="S8">
        <f t="shared" si="4"/>
        <v>2.75</v>
      </c>
      <c r="U8" s="31">
        <v>2.4500000000000002</v>
      </c>
      <c r="V8" s="31" t="s">
        <v>9</v>
      </c>
      <c r="W8" s="31">
        <f>COUNTIFS(B2:B81, "&lt;2.45", E2:E81,"Iris-versicolor")</f>
        <v>6</v>
      </c>
      <c r="X8" s="31">
        <f>COUNTIFS(B2:B81, "&lt;2.45", E2:E81,"Iris-virginica")</f>
        <v>1</v>
      </c>
      <c r="Y8" s="34">
        <f t="shared" ref="Y8" si="14">(1-POWER(W8/SUM(W8,X8),2)-POWER(X8/SUM(W8,X8),2))*SUM(W8,X8)/80 + (1-POWER(W9/SUM(W9,X9),2)-POWER(X9/SUM(W9,X9),2))*SUM(W9,X9)/80</f>
        <v>0.47553816046966735</v>
      </c>
      <c r="AA8" s="1">
        <v>4.2</v>
      </c>
      <c r="AB8">
        <f t="shared" si="1"/>
        <v>4.25</v>
      </c>
      <c r="AD8">
        <v>3.95</v>
      </c>
      <c r="AE8" t="s">
        <v>9</v>
      </c>
      <c r="AF8">
        <f>COUNTIFS(C2:C81, "&lt;3.95", E2:E81,"Iris-versicolor")</f>
        <v>7</v>
      </c>
      <c r="AG8">
        <f t="shared" si="6"/>
        <v>0</v>
      </c>
      <c r="AH8" s="25">
        <f t="shared" ref="AH8" si="15">(1-POWER(AF8/SUM(AF8,AG8),2)-POWER(AG8/SUM(AF8,AG8),2))*SUM(AF8,AG8)/80 + (1-POWER(AF9/SUM(AF9,AG9),2)-POWER(AG9/SUM(AF9,AG9),2))*SUM(AF9,AG9)/80</f>
        <v>0.45205479452054798</v>
      </c>
      <c r="AJ8" s="1">
        <v>1.6</v>
      </c>
      <c r="AK8">
        <f t="shared" si="2"/>
        <v>1.65</v>
      </c>
      <c r="AM8" s="31">
        <v>1.35</v>
      </c>
      <c r="AN8" s="31" t="s">
        <v>9</v>
      </c>
      <c r="AO8" s="31">
        <f>COUNTIFS(D2:D81, "&lt;1.35", E2:E81,"Iris-versicolor")</f>
        <v>19</v>
      </c>
      <c r="AP8" s="31">
        <f>COUNTIFS(D2:D81, "&lt;1.35", E2:E81,"Iris-virginica")</f>
        <v>0</v>
      </c>
      <c r="AQ8" s="34">
        <f t="shared" ref="AQ8" si="16">(1-POWER(AO8/SUM(AO8,AP8),2)-POWER(AP8/SUM(AO8,AP8),2))*SUM(AO8,AP8)/80 + (1-POWER(AO9/SUM(AO9,AP9),2)-POWER(AP9/SUM(AO9,AP9),2))*SUM(AO9,AP9)/80</f>
        <v>0.34426229508196726</v>
      </c>
    </row>
    <row r="9" spans="1:43" x14ac:dyDescent="0.25">
      <c r="A9">
        <v>5.6</v>
      </c>
      <c r="B9">
        <v>2.8</v>
      </c>
      <c r="C9">
        <v>4.9000000000000004</v>
      </c>
      <c r="D9">
        <v>2</v>
      </c>
      <c r="E9" s="5" t="s">
        <v>7</v>
      </c>
      <c r="I9" s="1">
        <v>5.7</v>
      </c>
      <c r="J9">
        <f t="shared" si="0"/>
        <v>5.75</v>
      </c>
      <c r="L9" s="31"/>
      <c r="M9" s="31" t="s">
        <v>10</v>
      </c>
      <c r="N9" s="31">
        <v>37</v>
      </c>
      <c r="O9" s="31">
        <v>36</v>
      </c>
      <c r="P9" s="34"/>
      <c r="R9" s="1">
        <v>2.8</v>
      </c>
      <c r="S9">
        <f t="shared" si="4"/>
        <v>2.8499999999999996</v>
      </c>
      <c r="U9" s="31"/>
      <c r="V9" s="31" t="s">
        <v>10</v>
      </c>
      <c r="W9" s="31">
        <v>34</v>
      </c>
      <c r="X9" s="31">
        <v>39</v>
      </c>
      <c r="Y9" s="34"/>
      <c r="AA9" s="1">
        <v>4.3</v>
      </c>
      <c r="AB9">
        <f t="shared" si="1"/>
        <v>4.3499999999999996</v>
      </c>
      <c r="AE9" t="s">
        <v>10</v>
      </c>
      <c r="AF9">
        <v>33</v>
      </c>
      <c r="AG9">
        <f t="shared" si="6"/>
        <v>40</v>
      </c>
      <c r="AH9" s="25"/>
      <c r="AJ9" s="1">
        <v>1.7</v>
      </c>
      <c r="AK9">
        <f t="shared" si="2"/>
        <v>1.75</v>
      </c>
      <c r="AM9" s="31"/>
      <c r="AN9" s="31" t="s">
        <v>10</v>
      </c>
      <c r="AO9" s="31">
        <v>21</v>
      </c>
      <c r="AP9" s="31">
        <v>40</v>
      </c>
      <c r="AQ9" s="34"/>
    </row>
    <row r="10" spans="1:43" x14ac:dyDescent="0.25">
      <c r="A10">
        <v>5.8</v>
      </c>
      <c r="B10">
        <v>2.8</v>
      </c>
      <c r="C10">
        <v>4.5</v>
      </c>
      <c r="D10">
        <v>1.3</v>
      </c>
      <c r="E10" t="s">
        <v>6</v>
      </c>
      <c r="I10" s="1">
        <v>5.8</v>
      </c>
      <c r="J10">
        <f t="shared" si="0"/>
        <v>5.85</v>
      </c>
      <c r="L10" s="31">
        <v>5.45</v>
      </c>
      <c r="M10" s="31" t="s">
        <v>9</v>
      </c>
      <c r="N10" s="31">
        <f>COUNTIFS(A2:A81, "&lt;5.45", E2:E81,"Iris-versicolor")</f>
        <v>6</v>
      </c>
      <c r="O10" s="31">
        <f>COUNTIFS(A2:A81, "&lt;5.45", E2:E81,"Iris-virginica")</f>
        <v>4</v>
      </c>
      <c r="P10" s="34">
        <f t="shared" ref="P10" si="17">(1-POWER(N10/SUM(N10,O10),2)-POWER(O10/SUM(N10,O10),2))*SUM(N10,O10)/80 + (1-POWER(N11/SUM(N11,O11),2)-POWER(O11/SUM(N11,O11),2))*SUM(N11,O11)/80</f>
        <v>0.49714285714285728</v>
      </c>
      <c r="R10" s="1">
        <v>2.9</v>
      </c>
      <c r="S10">
        <f t="shared" si="4"/>
        <v>2.95</v>
      </c>
      <c r="U10" s="31">
        <v>2.5499999999999998</v>
      </c>
      <c r="V10" s="31" t="s">
        <v>9</v>
      </c>
      <c r="W10" s="31">
        <f>COUNTIFS(B2:B81, "&lt;2.55", E2:E81,"Iris-versicolor")</f>
        <v>8</v>
      </c>
      <c r="X10" s="31">
        <f>COUNTIFS(B2:B81, "&lt;2.55", E2:E81,"Iris-virginica")</f>
        <v>5</v>
      </c>
      <c r="Y10" s="34">
        <f t="shared" ref="Y10" si="18">(1-POWER(W10/SUM(W10,X10),2)-POWER(X10/SUM(W10,X10),2))*SUM(W10,X10)/80 + (1-POWER(W11/SUM(W11,X11),2)-POWER(X11/SUM(W11,X11),2))*SUM(W11,X11)/80</f>
        <v>0.494833524684271</v>
      </c>
      <c r="AA10" s="1">
        <v>4.4000000000000004</v>
      </c>
      <c r="AB10">
        <f t="shared" si="1"/>
        <v>4.45</v>
      </c>
      <c r="AD10">
        <v>4.05</v>
      </c>
      <c r="AE10" t="s">
        <v>9</v>
      </c>
      <c r="AF10">
        <f>COUNTIFS(C2:C81, "&lt;4.05", E2:E81,"Iris-versicolor")</f>
        <v>10</v>
      </c>
      <c r="AG10">
        <f t="shared" si="6"/>
        <v>0</v>
      </c>
      <c r="AH10" s="25">
        <f t="shared" ref="AH10" si="19">(1-POWER(AF10/SUM(AF10,AG10),2)-POWER(AG10/SUM(AF10,AG10),2))*SUM(AF10,AG10)/80 + (1-POWER(AF11/SUM(AF11,AG11),2)-POWER(AG11/SUM(AF11,AG11),2))*SUM(AF11,AG11)/80</f>
        <v>0.42857142857142866</v>
      </c>
      <c r="AJ10" s="1">
        <v>1.8</v>
      </c>
      <c r="AK10">
        <f t="shared" si="2"/>
        <v>1.85</v>
      </c>
      <c r="AM10" s="31">
        <v>1.45</v>
      </c>
      <c r="AN10" s="31" t="s">
        <v>9</v>
      </c>
      <c r="AO10" s="31">
        <f>COUNTIFS(D2:D81, "&lt;1.45", E2:E81,"Iris-versicolor")</f>
        <v>26</v>
      </c>
      <c r="AP10" s="31">
        <f>COUNTIFS(D2:D81, "&lt;1.45", E2:E81,"Iris-virginica")</f>
        <v>1</v>
      </c>
      <c r="AQ10" s="34">
        <f t="shared" ref="AQ10" si="20">(1-POWER(AO10/SUM(AO10,AP10),2)-POWER(AP10/SUM(AO10,AP10),2))*SUM(AO10,AP10)/80 + (1-POWER(AO11/SUM(AO11,AP11),2)-POWER(AP11/SUM(AO11,AP11),2))*SUM(AO11,AP11)/80</f>
        <v>0.39550264550264558</v>
      </c>
    </row>
    <row r="11" spans="1:43" x14ac:dyDescent="0.25">
      <c r="A11">
        <v>6.2</v>
      </c>
      <c r="B11">
        <v>2.6</v>
      </c>
      <c r="C11">
        <v>3.5</v>
      </c>
      <c r="D11">
        <v>1</v>
      </c>
      <c r="E11" t="s">
        <v>6</v>
      </c>
      <c r="I11" s="1">
        <f>I10+0.1</f>
        <v>5.8999999999999995</v>
      </c>
      <c r="J11">
        <f t="shared" si="0"/>
        <v>5.9499999999999993</v>
      </c>
      <c r="L11" s="31"/>
      <c r="M11" s="31" t="s">
        <v>10</v>
      </c>
      <c r="N11" s="31">
        <v>34</v>
      </c>
      <c r="O11" s="31">
        <v>36</v>
      </c>
      <c r="P11" s="34"/>
      <c r="R11" s="1">
        <v>3</v>
      </c>
      <c r="S11">
        <f t="shared" si="4"/>
        <v>3.05</v>
      </c>
      <c r="U11" s="31"/>
      <c r="V11" s="31" t="s">
        <v>10</v>
      </c>
      <c r="W11" s="31">
        <v>32</v>
      </c>
      <c r="X11" s="31">
        <v>35</v>
      </c>
      <c r="Y11" s="34"/>
      <c r="AA11" s="1">
        <v>4.5</v>
      </c>
      <c r="AB11">
        <f t="shared" si="1"/>
        <v>4.55</v>
      </c>
      <c r="AE11" t="s">
        <v>10</v>
      </c>
      <c r="AF11">
        <v>30</v>
      </c>
      <c r="AG11">
        <f t="shared" si="6"/>
        <v>40</v>
      </c>
      <c r="AH11" s="25"/>
      <c r="AJ11" s="1">
        <v>1.9</v>
      </c>
      <c r="AK11">
        <f t="shared" si="2"/>
        <v>1.95</v>
      </c>
      <c r="AM11" s="31"/>
      <c r="AN11" s="31" t="s">
        <v>10</v>
      </c>
      <c r="AO11" s="31">
        <v>24</v>
      </c>
      <c r="AP11" s="31">
        <v>39</v>
      </c>
      <c r="AQ11" s="34"/>
    </row>
    <row r="12" spans="1:43" x14ac:dyDescent="0.25">
      <c r="A12">
        <v>5.6</v>
      </c>
      <c r="B12">
        <v>3</v>
      </c>
      <c r="C12">
        <v>4.2</v>
      </c>
      <c r="D12">
        <v>1.2</v>
      </c>
      <c r="E12" t="s">
        <v>6</v>
      </c>
      <c r="I12" s="1">
        <f t="shared" ref="I12:I21" si="21">I11+0.1</f>
        <v>5.9999999999999991</v>
      </c>
      <c r="J12">
        <f t="shared" si="0"/>
        <v>6.0499999999999989</v>
      </c>
      <c r="L12" s="31">
        <v>5.55</v>
      </c>
      <c r="M12" s="31" t="s">
        <v>9</v>
      </c>
      <c r="N12" s="31">
        <f>COUNTIFS(A2:A81, "&lt;5.55", E2:E81,"Iris-versicolor")</f>
        <v>10</v>
      </c>
      <c r="O12" s="31">
        <f>COUNTIFS(A2:A81, "&lt;5.55", E2:E81,"Iris-virginica")</f>
        <v>4</v>
      </c>
      <c r="P12" s="34">
        <f t="shared" ref="P12" si="22">(1-POWER(N12/SUM(N12,O12),2)-POWER(O12/SUM(N12,O12),2))*SUM(N12,O12)/80 + (1-POWER(N13/SUM(N13,O13),2)-POWER(O13/SUM(N13,O13),2))*SUM(N13,O13)/80</f>
        <v>0.48051948051948057</v>
      </c>
      <c r="R12" s="1">
        <v>3.1</v>
      </c>
      <c r="S12">
        <f t="shared" si="4"/>
        <v>3.1500000000000004</v>
      </c>
      <c r="U12" s="31">
        <v>2.65</v>
      </c>
      <c r="V12" s="31" t="s">
        <v>9</v>
      </c>
      <c r="W12" s="31">
        <f>COUNTIFS(B2:B81, "&lt;2.65", E2:E81,"Iris-versicolor")</f>
        <v>10</v>
      </c>
      <c r="X12" s="31">
        <f>COUNTIFS(B2:B81, "&lt;2.65", E2:E81,"Iris-virginica")</f>
        <v>6</v>
      </c>
      <c r="Y12" s="34">
        <f t="shared" ref="Y12" si="23">(1-POWER(W12/SUM(W12,X12),2)-POWER(X12/SUM(W12,X12),2))*SUM(W12,X12)/80 + (1-POWER(W13/SUM(W13,X13),2)-POWER(X13/SUM(W13,X13),2))*SUM(W13,X13)/80</f>
        <v>0.4921875</v>
      </c>
      <c r="AA12" s="1">
        <v>4.5999999999999996</v>
      </c>
      <c r="AB12">
        <f t="shared" si="1"/>
        <v>4.6500000000000004</v>
      </c>
      <c r="AD12">
        <v>4.1500000000000004</v>
      </c>
      <c r="AE12" t="s">
        <v>9</v>
      </c>
      <c r="AF12">
        <f>COUNTIFS(C2:C81, "&lt;4.15", E2:E81,"Iris-versicolor")</f>
        <v>12</v>
      </c>
      <c r="AG12">
        <f t="shared" si="6"/>
        <v>0</v>
      </c>
      <c r="AH12" s="25">
        <f t="shared" ref="AH12" si="24">(1-POWER(AF12/SUM(AF12,AG12),2)-POWER(AG12/SUM(AF12,AG12),2))*SUM(AF12,AG12)/80 + (1-POWER(AF13/SUM(AF13,AG13),2)-POWER(AG13/SUM(AF13,AG13),2))*SUM(AF13,AG13)/80</f>
        <v>0.41176470588235298</v>
      </c>
      <c r="AJ12" s="1">
        <v>2</v>
      </c>
      <c r="AK12">
        <f t="shared" si="2"/>
        <v>2.0499999999999998</v>
      </c>
      <c r="AM12" s="31">
        <v>1.55</v>
      </c>
      <c r="AN12" s="31" t="s">
        <v>9</v>
      </c>
      <c r="AO12" s="31">
        <f>COUNTIFS(D2:D81, "&lt;1.55", E2:E81,"Iris-versicolor")</f>
        <v>35</v>
      </c>
      <c r="AP12" s="31">
        <f>COUNTIFS(D2:D81, "&lt;1.55", E2:E81,"Iris-virginica")</f>
        <v>3</v>
      </c>
      <c r="AQ12" s="34">
        <f t="shared" ref="AQ12" si="25">(1-POWER(AO12/SUM(AO12,AP12),2)-POWER(AP12/SUM(AO12,AP12),2))*SUM(AO12,AP12)/80 + (1-POWER(AO13/SUM(AO13,AP13),2)-POWER(AP13/SUM(AO13,AP13),2))*SUM(AO13,AP13)/80</f>
        <v>0.17919799498746874</v>
      </c>
    </row>
    <row r="13" spans="1:43" x14ac:dyDescent="0.25">
      <c r="A13">
        <v>5.9</v>
      </c>
      <c r="B13">
        <v>2.9</v>
      </c>
      <c r="C13">
        <v>4.2</v>
      </c>
      <c r="D13">
        <v>1.3</v>
      </c>
      <c r="E13" t="s">
        <v>6</v>
      </c>
      <c r="I13" s="1">
        <f t="shared" si="21"/>
        <v>6.0999999999999988</v>
      </c>
      <c r="J13">
        <f t="shared" si="0"/>
        <v>6.1499999999999986</v>
      </c>
      <c r="L13" s="31"/>
      <c r="M13" s="31" t="s">
        <v>10</v>
      </c>
      <c r="N13" s="31">
        <v>30</v>
      </c>
      <c r="O13" s="31">
        <v>36</v>
      </c>
      <c r="P13" s="34"/>
      <c r="R13" s="1">
        <v>3.2</v>
      </c>
      <c r="S13">
        <f t="shared" si="4"/>
        <v>3.25</v>
      </c>
      <c r="U13" s="31"/>
      <c r="V13" s="31" t="s">
        <v>10</v>
      </c>
      <c r="W13" s="31">
        <v>30</v>
      </c>
      <c r="X13" s="31">
        <v>34</v>
      </c>
      <c r="Y13" s="34"/>
      <c r="AA13" s="1">
        <v>4.7</v>
      </c>
      <c r="AB13">
        <f t="shared" si="1"/>
        <v>4.75</v>
      </c>
      <c r="AE13" t="s">
        <v>10</v>
      </c>
      <c r="AF13">
        <v>28</v>
      </c>
      <c r="AG13">
        <f t="shared" si="6"/>
        <v>40</v>
      </c>
      <c r="AH13" s="25"/>
      <c r="AJ13" s="1">
        <v>2.1</v>
      </c>
      <c r="AK13">
        <f t="shared" si="2"/>
        <v>2.1500000000000004</v>
      </c>
      <c r="AM13" s="31"/>
      <c r="AN13" s="31" t="s">
        <v>10</v>
      </c>
      <c r="AO13" s="31">
        <v>5</v>
      </c>
      <c r="AP13" s="31">
        <v>37</v>
      </c>
      <c r="AQ13" s="34"/>
    </row>
    <row r="14" spans="1:43" x14ac:dyDescent="0.25">
      <c r="A14">
        <v>6.1</v>
      </c>
      <c r="B14">
        <v>2.8</v>
      </c>
      <c r="C14">
        <v>4.0999999999999996</v>
      </c>
      <c r="D14">
        <v>1.3</v>
      </c>
      <c r="E14" t="s">
        <v>6</v>
      </c>
      <c r="I14" s="1">
        <f t="shared" si="21"/>
        <v>6.1999999999999984</v>
      </c>
      <c r="J14">
        <f t="shared" si="0"/>
        <v>6.2499999999999982</v>
      </c>
      <c r="L14" s="31">
        <v>5.65</v>
      </c>
      <c r="M14" s="31" t="s">
        <v>9</v>
      </c>
      <c r="N14" s="31">
        <f>COUNTIFS(A2:A81, "&lt;5.65", E2:E81,"Iris-versicolor")</f>
        <v>12</v>
      </c>
      <c r="O14" s="31">
        <f>COUNTIFS(A2:A81, "&lt;5.65", E2:E81,"Iris-virginica")</f>
        <v>7</v>
      </c>
      <c r="P14" s="34">
        <f t="shared" ref="P14" si="26">(1-POWER(N14/SUM(N14,O14),2)-POWER(O14/SUM(N14,O14),2))*SUM(N14,O14)/80 + (1-POWER(N15/SUM(N15,O15),2)-POWER(O15/SUM(N15,O15),2))*SUM(N15,O15)/80</f>
        <v>0.48921484037963758</v>
      </c>
      <c r="R14" s="1">
        <v>3.3</v>
      </c>
      <c r="S14">
        <f t="shared" si="4"/>
        <v>3.3499999999999996</v>
      </c>
      <c r="U14" s="31">
        <v>2.75</v>
      </c>
      <c r="V14" s="31" t="s">
        <v>9</v>
      </c>
      <c r="W14" s="31">
        <f>COUNTIFS(B2:B81, "&lt;2.75", E2:E81,"Iris-versicolor")</f>
        <v>14</v>
      </c>
      <c r="X14" s="31">
        <f>COUNTIFS(B2:B81, "&lt;2.75", E2:E81,"Iris-virginica")</f>
        <v>10</v>
      </c>
      <c r="Y14" s="34">
        <f t="shared" ref="Y14" si="27">(1-POWER(W14/SUM(W14,X14),2)-POWER(X14/SUM(W14,X14),2))*SUM(W14,X14)/80 + (1-POWER(W15/SUM(W15,X15),2)-POWER(X15/SUM(W15,X15),2))*SUM(W15,X15)/80</f>
        <v>0.49404761904761896</v>
      </c>
      <c r="AA14" s="1">
        <v>4.8</v>
      </c>
      <c r="AB14">
        <f t="shared" si="1"/>
        <v>4.8499999999999996</v>
      </c>
      <c r="AD14">
        <v>4.25</v>
      </c>
      <c r="AE14" t="s">
        <v>9</v>
      </c>
      <c r="AF14">
        <f>COUNTIFS(C2:C81, "&lt;4.25", E2:E81,"Iris-versicolor")</f>
        <v>15</v>
      </c>
      <c r="AG14">
        <f t="shared" si="6"/>
        <v>0</v>
      </c>
      <c r="AH14" s="25">
        <f t="shared" ref="AH14" si="28">(1-POWER(AF14/SUM(AF14,AG14),2)-POWER(AG14/SUM(AF14,AG14),2))*SUM(AF14,AG14)/80 + (1-POWER(AF15/SUM(AF15,AG15),2)-POWER(AG15/SUM(AF15,AG15),2))*SUM(AF15,AG15)/80</f>
        <v>0.38461538461538458</v>
      </c>
      <c r="AJ14" s="1">
        <v>2.2000000000000002</v>
      </c>
      <c r="AK14">
        <f t="shared" si="2"/>
        <v>2.25</v>
      </c>
      <c r="AM14" s="31">
        <v>1.65</v>
      </c>
      <c r="AN14" s="31" t="s">
        <v>9</v>
      </c>
      <c r="AO14" s="31">
        <f>COUNTIFS(D2:D81, "&lt;1.65", E2:E81,"Iris-versicolor")</f>
        <v>38</v>
      </c>
      <c r="AP14" s="31">
        <f>COUNTIFS(D2:D81, "&lt;1.65", E2:E81,"Iris-virginica")</f>
        <v>3</v>
      </c>
      <c r="AQ14" s="34">
        <f t="shared" ref="AQ14" si="29">(1-POWER(AO14/SUM(AO14,AP14),2)-POWER(AP14/SUM(AO14,AP14),2))*SUM(AO14,AP14)/80 + (1-POWER(AO15/SUM(AO15,AP15),2)-POWER(AP15/SUM(AO15,AP15),2))*SUM(AO15,AP15)/80</f>
        <v>0.11694809255784862</v>
      </c>
    </row>
    <row r="15" spans="1:43" x14ac:dyDescent="0.25">
      <c r="A15">
        <v>6.3</v>
      </c>
      <c r="B15">
        <v>2.5</v>
      </c>
      <c r="C15">
        <v>5</v>
      </c>
      <c r="D15">
        <v>2</v>
      </c>
      <c r="E15" s="5" t="s">
        <v>7</v>
      </c>
      <c r="I15" s="1">
        <f t="shared" si="21"/>
        <v>6.299999999999998</v>
      </c>
      <c r="J15">
        <f t="shared" si="0"/>
        <v>6.3499999999999979</v>
      </c>
      <c r="L15" s="31"/>
      <c r="M15" s="31" t="s">
        <v>10</v>
      </c>
      <c r="N15" s="31">
        <v>28</v>
      </c>
      <c r="O15" s="31">
        <v>33</v>
      </c>
      <c r="P15" s="34"/>
      <c r="R15" s="1">
        <v>3.4</v>
      </c>
      <c r="S15">
        <f t="shared" si="4"/>
        <v>3.5999999999999996</v>
      </c>
      <c r="U15" s="31"/>
      <c r="V15" s="31" t="s">
        <v>10</v>
      </c>
      <c r="W15" s="31">
        <v>26</v>
      </c>
      <c r="X15" s="31">
        <v>30</v>
      </c>
      <c r="Y15" s="34"/>
      <c r="AA15" s="1">
        <v>4.9000000000000004</v>
      </c>
      <c r="AB15">
        <f t="shared" si="1"/>
        <v>4.95</v>
      </c>
      <c r="AE15" t="s">
        <v>10</v>
      </c>
      <c r="AF15">
        <v>25</v>
      </c>
      <c r="AG15">
        <f t="shared" si="6"/>
        <v>40</v>
      </c>
      <c r="AH15" s="25"/>
      <c r="AJ15" s="1">
        <v>2.2999999999999998</v>
      </c>
      <c r="AK15">
        <f t="shared" si="2"/>
        <v>2.3499999999999996</v>
      </c>
      <c r="AM15" s="31"/>
      <c r="AN15" s="31" t="s">
        <v>10</v>
      </c>
      <c r="AO15" s="31">
        <v>2</v>
      </c>
      <c r="AP15" s="31">
        <v>37</v>
      </c>
      <c r="AQ15" s="34"/>
    </row>
    <row r="16" spans="1:43" x14ac:dyDescent="0.25">
      <c r="A16">
        <v>6.4</v>
      </c>
      <c r="B16">
        <v>2.7</v>
      </c>
      <c r="C16">
        <v>4.0999999999999996</v>
      </c>
      <c r="D16">
        <v>1</v>
      </c>
      <c r="E16" t="s">
        <v>6</v>
      </c>
      <c r="I16" s="1">
        <f>I15+0.1</f>
        <v>6.3999999999999977</v>
      </c>
      <c r="J16">
        <f t="shared" si="0"/>
        <v>6.4499999999999975</v>
      </c>
      <c r="L16" s="31">
        <v>5.75</v>
      </c>
      <c r="M16" s="31" t="s">
        <v>9</v>
      </c>
      <c r="N16" s="31">
        <f>COUNTIFS(A2:A81, "&lt;5.75", E2:E81,"Iris-versicolor")</f>
        <v>15</v>
      </c>
      <c r="O16" s="31">
        <f>COUNTIFS(A2:A81, "&lt;5.75", E2:E81,"Iris-virginica")</f>
        <v>9</v>
      </c>
      <c r="P16" s="34">
        <f t="shared" ref="P16" si="30">(1-POWER(N16/SUM(N16,O16),2)-POWER(O16/SUM(N16,O16),2))*SUM(N16,O16)/80 + (1-POWER(N17/SUM(N17,O17),2)-POWER(O17/SUM(N17,O17),2))*SUM(N17,O17)/80</f>
        <v>0.48660714285714285</v>
      </c>
      <c r="R16" s="1">
        <v>3.8</v>
      </c>
      <c r="U16" s="31">
        <v>2.85</v>
      </c>
      <c r="V16" s="31" t="s">
        <v>9</v>
      </c>
      <c r="W16" s="31">
        <f>COUNTIFS(B2:B81, "&lt;2.85", E2:E81,"Iris-versicolor")</f>
        <v>20</v>
      </c>
      <c r="X16" s="31">
        <f>COUNTIFS(B2:B81, "&lt;2.85", E2:E81,"Iris-virginica")</f>
        <v>16</v>
      </c>
      <c r="Y16" s="34">
        <f t="shared" ref="Y16" si="31">(1-POWER(W16/SUM(W16,X16),2)-POWER(X16/SUM(W16,X16),2))*SUM(W16,X16)/80 + (1-POWER(W17/SUM(W17,X17),2)-POWER(X17/SUM(W17,X17),2))*SUM(W17,X17)/80</f>
        <v>0.49494949494949503</v>
      </c>
      <c r="AA16" s="1">
        <v>5</v>
      </c>
      <c r="AB16">
        <f t="shared" si="1"/>
        <v>5.05</v>
      </c>
      <c r="AD16">
        <v>4.3499999999999996</v>
      </c>
      <c r="AE16" t="s">
        <v>9</v>
      </c>
      <c r="AF16">
        <f>COUNTIFS(C2:C81, "&lt;4.35", E2:E81,"Iris-versicolor")</f>
        <v>17</v>
      </c>
      <c r="AG16">
        <f t="shared" si="6"/>
        <v>0</v>
      </c>
      <c r="AH16" s="25">
        <f t="shared" ref="AH16" si="32">(1-POWER(AF16/SUM(AF16,AG16),2)-POWER(AG16/SUM(AF16,AG16),2))*SUM(AF16,AG16)/80 + (1-POWER(AF17/SUM(AF17,AG17),2)-POWER(AG17/SUM(AF17,AG17),2))*SUM(AF17,AG17)/80</f>
        <v>0.36507936507936511</v>
      </c>
      <c r="AJ16" s="1">
        <v>2.4</v>
      </c>
      <c r="AK16">
        <f t="shared" si="2"/>
        <v>2.4500000000000002</v>
      </c>
      <c r="AM16" s="35">
        <v>1.75</v>
      </c>
      <c r="AN16" s="35" t="s">
        <v>9</v>
      </c>
      <c r="AO16" s="35">
        <f>COUNTIFS(D2:D81, "&lt;1.75", E2:E81,"Iris-versicolor")</f>
        <v>39</v>
      </c>
      <c r="AP16" s="35">
        <f>COUNTIFS(D2:D81, "&lt;1.75", E2:E81,"Iris-virginica")</f>
        <v>4</v>
      </c>
      <c r="AQ16" s="36">
        <f t="shared" ref="AQ16" si="33">(1-POWER(AO16/SUM(AO16,AP16),2)-POWER(AP16/SUM(AO16,AP16),2))*SUM(AO16,AP16)/80 + (1-POWER(AO17/SUM(AO17,AP17),2)-POWER(AP17/SUM(AO17,AP17),2))*SUM(AO17,AP17)/80</f>
        <v>0.115021998742929</v>
      </c>
    </row>
    <row r="17" spans="1:43" x14ac:dyDescent="0.25">
      <c r="A17">
        <v>6.6</v>
      </c>
      <c r="B17">
        <v>2.7</v>
      </c>
      <c r="C17">
        <v>3.9</v>
      </c>
      <c r="D17">
        <v>1.2</v>
      </c>
      <c r="E17" t="s">
        <v>6</v>
      </c>
      <c r="I17" s="1">
        <f t="shared" si="21"/>
        <v>6.4999999999999973</v>
      </c>
      <c r="J17">
        <f t="shared" si="0"/>
        <v>6.5499999999999972</v>
      </c>
      <c r="L17" s="31"/>
      <c r="M17" s="31" t="s">
        <v>10</v>
      </c>
      <c r="N17" s="31">
        <v>25</v>
      </c>
      <c r="O17" s="31">
        <v>31</v>
      </c>
      <c r="P17" s="34"/>
      <c r="U17" s="31"/>
      <c r="V17" s="31" t="s">
        <v>10</v>
      </c>
      <c r="W17" s="31">
        <v>20</v>
      </c>
      <c r="X17" s="31">
        <v>24</v>
      </c>
      <c r="Y17" s="34"/>
      <c r="AA17" s="1">
        <v>5.0999999999999996</v>
      </c>
      <c r="AB17">
        <f t="shared" si="1"/>
        <v>5.15</v>
      </c>
      <c r="AE17" t="s">
        <v>10</v>
      </c>
      <c r="AF17">
        <v>23</v>
      </c>
      <c r="AG17">
        <f t="shared" si="6"/>
        <v>40</v>
      </c>
      <c r="AH17" s="25"/>
      <c r="AJ17" s="1">
        <v>2.5</v>
      </c>
      <c r="AM17" s="35"/>
      <c r="AN17" s="35" t="s">
        <v>10</v>
      </c>
      <c r="AO17" s="35">
        <v>1</v>
      </c>
      <c r="AP17" s="35">
        <v>36</v>
      </c>
      <c r="AQ17" s="36"/>
    </row>
    <row r="18" spans="1:43" x14ac:dyDescent="0.25">
      <c r="A18">
        <v>6.8</v>
      </c>
      <c r="B18">
        <v>2.6</v>
      </c>
      <c r="C18">
        <v>4</v>
      </c>
      <c r="D18">
        <v>1.2</v>
      </c>
      <c r="E18" t="s">
        <v>6</v>
      </c>
      <c r="I18" s="1">
        <f t="shared" si="21"/>
        <v>6.599999999999997</v>
      </c>
      <c r="J18">
        <f t="shared" si="0"/>
        <v>6.6499999999999968</v>
      </c>
      <c r="L18" s="31">
        <v>5.85</v>
      </c>
      <c r="M18" s="31" t="s">
        <v>9</v>
      </c>
      <c r="N18" s="31">
        <f>COUNTIFS(A2:A81, "&lt;5.85", E2:E81,"Iris-versicolor")</f>
        <v>18</v>
      </c>
      <c r="O18" s="31">
        <f>COUNTIFS(A2:A81, "&lt;5.85", E2:E81,"Iris-virginica")</f>
        <v>11</v>
      </c>
      <c r="P18" s="34">
        <f t="shared" ref="P18" si="34">(1-POWER(N18/SUM(N18,O18),2)-POWER(O18/SUM(N18,O18),2))*SUM(N18,O18)/80 + (1-POWER(N19/SUM(N19,O19),2)-POWER(O19/SUM(N19,O19),2))*SUM(N19,O19)/80</f>
        <v>0.48343475321162943</v>
      </c>
      <c r="U18" s="31">
        <v>2.95</v>
      </c>
      <c r="V18" s="35" t="s">
        <v>9</v>
      </c>
      <c r="W18" s="35">
        <f>COUNTIFS(B2:B81, "&lt;2.95", E2:E81,"Iris-versicolor")</f>
        <v>26</v>
      </c>
      <c r="X18" s="35">
        <f>COUNTIFS(B2:B81, "&lt;2.95", E2:E81,"Iris-virginica")</f>
        <v>17</v>
      </c>
      <c r="Y18" s="36">
        <f t="shared" ref="Y18" si="35">(1-POWER(W18/SUM(W18,X18),2)-POWER(X18/SUM(W18,X18),2))*SUM(W18,X18)/80 + (1-POWER(W19/SUM(W19,X19),2)-POWER(X19/SUM(W19,X19),2))*SUM(W19,X19)/80</f>
        <v>0.47454431175361411</v>
      </c>
      <c r="AA18" s="1">
        <v>5.2</v>
      </c>
      <c r="AB18">
        <f t="shared" si="1"/>
        <v>5.25</v>
      </c>
      <c r="AD18">
        <v>4.45</v>
      </c>
      <c r="AE18" t="s">
        <v>9</v>
      </c>
      <c r="AF18">
        <f>COUNTIFS(C2:C81, "&lt;4.45", E2:E81,"Iris-versicolor")</f>
        <v>20</v>
      </c>
      <c r="AG18">
        <f>40-AG17</f>
        <v>0</v>
      </c>
      <c r="AH18" s="25">
        <f t="shared" ref="AH18" si="36">(1-POWER(AF18/SUM(AF18,AG18),2)-POWER(AG18/SUM(AF18,AG18),2))*SUM(AF18,AG18)/80 + (1-POWER(AF19/SUM(AF19,AG19),2)-POWER(AG19/SUM(AF19,AG19),2))*SUM(AF19,AG19)/80</f>
        <v>0.33333333333333331</v>
      </c>
      <c r="AM18" s="31">
        <v>1.85</v>
      </c>
      <c r="AN18" s="31" t="s">
        <v>9</v>
      </c>
      <c r="AO18" s="31">
        <f>COUNTIFS(D2:D81, "&lt;1.85", E2:E81,"Iris-versicolor")</f>
        <v>40</v>
      </c>
      <c r="AP18" s="31">
        <f>COUNTIFS(D2:D81, "&lt;1.85", E2:E81,"Iris-virginica")</f>
        <v>13</v>
      </c>
      <c r="AQ18" s="34">
        <f t="shared" ref="AQ18" si="37">(1-POWER(AO18/SUM(AO18,AP18),2)-POWER(AP18/SUM(AO18,AP18),2))*SUM(AO18,AP18)/80 + (1-POWER(AO19/SUM(AO19,AP19),2)-POWER(AP19/SUM(AO19,AP19),2))*SUM(AO19,AP19)/80</f>
        <v>0.24528301886792453</v>
      </c>
    </row>
    <row r="19" spans="1:43" x14ac:dyDescent="0.25">
      <c r="A19">
        <v>6.7</v>
      </c>
      <c r="B19">
        <v>2.7</v>
      </c>
      <c r="C19">
        <v>5.0999999999999996</v>
      </c>
      <c r="D19">
        <v>1.9</v>
      </c>
      <c r="E19" s="5" t="s">
        <v>7</v>
      </c>
      <c r="I19" s="1">
        <f t="shared" si="21"/>
        <v>6.6999999999999966</v>
      </c>
      <c r="J19">
        <f t="shared" si="0"/>
        <v>6.7499999999999964</v>
      </c>
      <c r="L19" s="31"/>
      <c r="M19" s="31" t="s">
        <v>10</v>
      </c>
      <c r="N19" s="31">
        <v>22</v>
      </c>
      <c r="O19" s="31">
        <v>29</v>
      </c>
      <c r="P19" s="34"/>
      <c r="U19" s="31"/>
      <c r="V19" s="35" t="s">
        <v>10</v>
      </c>
      <c r="W19" s="35">
        <v>14</v>
      </c>
      <c r="X19" s="35">
        <v>23</v>
      </c>
      <c r="Y19" s="36"/>
      <c r="AA19" s="1">
        <v>5.3</v>
      </c>
      <c r="AB19">
        <f t="shared" si="1"/>
        <v>5.35</v>
      </c>
      <c r="AE19" t="s">
        <v>10</v>
      </c>
      <c r="AF19">
        <v>20</v>
      </c>
      <c r="AG19">
        <f t="shared" si="6"/>
        <v>40</v>
      </c>
      <c r="AH19" s="25"/>
      <c r="AM19" s="31"/>
      <c r="AN19" s="31" t="s">
        <v>10</v>
      </c>
      <c r="AO19" s="31">
        <v>0</v>
      </c>
      <c r="AP19" s="31">
        <v>27</v>
      </c>
      <c r="AQ19" s="34"/>
    </row>
    <row r="20" spans="1:43" x14ac:dyDescent="0.25">
      <c r="A20">
        <v>6</v>
      </c>
      <c r="B20">
        <v>2.8</v>
      </c>
      <c r="C20">
        <v>5.0999999999999996</v>
      </c>
      <c r="D20">
        <v>2.4</v>
      </c>
      <c r="E20" s="5" t="s">
        <v>7</v>
      </c>
      <c r="I20" s="1">
        <f>I19+0.1</f>
        <v>6.7999999999999963</v>
      </c>
      <c r="J20">
        <f t="shared" si="0"/>
        <v>6.8499999999999961</v>
      </c>
      <c r="L20" s="31">
        <v>5.95</v>
      </c>
      <c r="M20" s="31" t="s">
        <v>9</v>
      </c>
      <c r="N20" s="31">
        <f>COUNTIFS(A2:A81, "&lt;5.95", E2:E81,"Iris-versicolor")</f>
        <v>19</v>
      </c>
      <c r="O20" s="31">
        <f>COUNTIFS(A2:A81, "&lt;5.95", E2:E81,"Iris-virginica")</f>
        <v>12</v>
      </c>
      <c r="P20" s="34">
        <f t="shared" ref="P20" si="38">(1-POWER(N20/SUM(N20,O20),2)-POWER(O20/SUM(N20,O20),2))*SUM(N20,O20)/80 + (1-POWER(N21/SUM(N21,O21),2)-POWER(O21/SUM(N21,O21),2))*SUM(N21,O21)/80</f>
        <v>0.48387096774193555</v>
      </c>
      <c r="U20" s="31">
        <v>3.05</v>
      </c>
      <c r="V20" s="31" t="s">
        <v>9</v>
      </c>
      <c r="W20" s="31">
        <f>COUNTIFS(B2:B81, "&lt;3.05", E2:E81,"Iris-versicolor")</f>
        <v>32</v>
      </c>
      <c r="X20" s="31">
        <f>COUNTIFS(B2:B81, "&lt;3.05", E2:E81,"Iris-virginica")</f>
        <v>26</v>
      </c>
      <c r="Y20" s="34">
        <f t="shared" ref="Y20" si="39">(1-POWER(W20/SUM(W20,X20),2)-POWER(X20/SUM(W20,X20),2))*SUM(W20,X20)/80 + (1-POWER(W21/SUM(W21,X21),2)-POWER(X21/SUM(W21,X21),2))*SUM(W21,X21)/80</f>
        <v>0.48589341692789967</v>
      </c>
      <c r="AA20" s="1">
        <v>5.4</v>
      </c>
      <c r="AB20">
        <f t="shared" si="1"/>
        <v>5.45</v>
      </c>
      <c r="AD20">
        <v>4.55</v>
      </c>
      <c r="AE20" t="s">
        <v>9</v>
      </c>
      <c r="AF20">
        <f>COUNTIFS(C2:C81, "&lt;4.55", E2:E81,"Iris-versicolor")</f>
        <v>26</v>
      </c>
      <c r="AG20">
        <f>COUNTIFS(C2:C81, "&lt;4.55", E2:E81,"Iris-virginica")</f>
        <v>1</v>
      </c>
      <c r="AH20" s="25">
        <f t="shared" ref="AH20" si="40">(1-POWER(AF20/SUM(AF20,AG20),2)-POWER(AG20/SUM(AF20,AG20),2))*SUM(AF20,AG20)/80 + (1-POWER(AF21/SUM(AF21,AG21),2)-POWER(AG21/SUM(AF21,AG21),2))*SUM(AF21,AG21)/80</f>
        <v>0.28162124388539495</v>
      </c>
      <c r="AM20" s="31">
        <v>1.95</v>
      </c>
      <c r="AN20" s="31" t="s">
        <v>9</v>
      </c>
      <c r="AO20" s="31">
        <f>COUNTIFS(D2:D81, "&lt;1.95", E2:E81,"Iris-versicolor")</f>
        <v>40</v>
      </c>
      <c r="AP20" s="31">
        <f>COUNTIFS(D2:D81, "&lt;1.95", E2:E81,"Iris-virginica")</f>
        <v>17</v>
      </c>
      <c r="AQ20" s="34">
        <f t="shared" ref="AQ20" si="41">(1-POWER(AO20/SUM(AO20,AP20),2)-POWER(AP20/SUM(AO20,AP20),2))*SUM(AO20,AP20)/80 + (1-POWER(AO21/SUM(AO21,AP21),2)-POWER(AP21/SUM(AO21,AP21),2))*SUM(AO21,AP21)/80</f>
        <v>0.29824561403508776</v>
      </c>
    </row>
    <row r="21" spans="1:43" x14ac:dyDescent="0.25">
      <c r="A21">
        <v>5.7</v>
      </c>
      <c r="B21">
        <v>2.7</v>
      </c>
      <c r="C21">
        <v>5.0999999999999996</v>
      </c>
      <c r="D21">
        <v>1.9</v>
      </c>
      <c r="E21" s="5" t="s">
        <v>7</v>
      </c>
      <c r="I21" s="1">
        <f t="shared" si="21"/>
        <v>6.8999999999999959</v>
      </c>
      <c r="J21">
        <f t="shared" si="0"/>
        <v>6.9999999999999982</v>
      </c>
      <c r="L21" s="31"/>
      <c r="M21" s="31" t="s">
        <v>10</v>
      </c>
      <c r="N21" s="31">
        <v>21</v>
      </c>
      <c r="O21" s="31">
        <v>28</v>
      </c>
      <c r="P21" s="34"/>
      <c r="U21" s="31"/>
      <c r="V21" s="31" t="s">
        <v>10</v>
      </c>
      <c r="W21" s="31">
        <v>8</v>
      </c>
      <c r="X21" s="31">
        <v>14</v>
      </c>
      <c r="Y21" s="34"/>
      <c r="AA21" s="1">
        <v>5.5</v>
      </c>
      <c r="AB21">
        <f t="shared" si="1"/>
        <v>5.55</v>
      </c>
      <c r="AE21" t="s">
        <v>10</v>
      </c>
      <c r="AF21">
        <v>14</v>
      </c>
      <c r="AG21">
        <f>40-AG20</f>
        <v>39</v>
      </c>
      <c r="AH21" s="25"/>
      <c r="AM21" s="31"/>
      <c r="AN21" s="31" t="s">
        <v>10</v>
      </c>
      <c r="AO21" s="31">
        <v>0</v>
      </c>
      <c r="AP21" s="31">
        <v>23</v>
      </c>
      <c r="AQ21" s="34"/>
    </row>
    <row r="22" spans="1:43" x14ac:dyDescent="0.25">
      <c r="A22">
        <v>5.5</v>
      </c>
      <c r="B22">
        <v>3</v>
      </c>
      <c r="C22">
        <v>4.2</v>
      </c>
      <c r="D22">
        <v>1.5</v>
      </c>
      <c r="E22" t="s">
        <v>6</v>
      </c>
      <c r="I22" s="1">
        <v>7.1</v>
      </c>
      <c r="J22">
        <f t="shared" si="0"/>
        <v>7.15</v>
      </c>
      <c r="L22" s="31">
        <v>6.05</v>
      </c>
      <c r="M22" s="31" t="s">
        <v>9</v>
      </c>
      <c r="N22" s="31">
        <f>COUNTIFS(A2:A81, "&lt;6.05", E2:E81,"Iris-versicolor")</f>
        <v>21</v>
      </c>
      <c r="O22" s="31">
        <f>COUNTIFS(A2:A81, "&lt;6.05", E2:E81,"Iris-virginica")</f>
        <v>14</v>
      </c>
      <c r="P22" s="34">
        <f t="shared" ref="P22" si="42">(1-POWER(N22/SUM(N22,O22),2)-POWER(O22/SUM(N22,O22),2))*SUM(N22,O22)/80 + (1-POWER(N23/SUM(N23,O23),2)-POWER(O23/SUM(N23,O23),2))*SUM(N23,O23)/80</f>
        <v>0.48444444444444451</v>
      </c>
      <c r="U22" s="31">
        <v>3.15</v>
      </c>
      <c r="V22" s="31" t="s">
        <v>9</v>
      </c>
      <c r="W22" s="31">
        <f>COUNTIFS(B2:B81, "&lt;3.15", E2:E81,"Iris-versicolor")</f>
        <v>35</v>
      </c>
      <c r="X22" s="31">
        <f>COUNTIFS(B2:B81, "&lt;3.15", E2:E81,"Iris-virginica")</f>
        <v>30</v>
      </c>
      <c r="Y22" s="34">
        <f t="shared" ref="Y22" si="43">(1-POWER(W22/SUM(W22,X22),2)-POWER(X22/SUM(W22,X22),2))*SUM(W22,X22)/80 + (1-POWER(W23/SUM(W23,X23),2)-POWER(X23/SUM(W23,X23),2))*SUM(W23,X23)/80</f>
        <v>0.48717948717948723</v>
      </c>
      <c r="AA22" s="1">
        <v>5.6</v>
      </c>
      <c r="AB22">
        <f t="shared" si="1"/>
        <v>5.65</v>
      </c>
      <c r="AD22">
        <v>4.6500000000000004</v>
      </c>
      <c r="AE22" t="s">
        <v>9</v>
      </c>
      <c r="AF22">
        <f>COUNTIFS(C2:C81, "&lt;4.65", E2:E81,"Iris-versicolor")</f>
        <v>29</v>
      </c>
      <c r="AG22">
        <f>COUNTIFS(C2:C81, "&lt;4.65", E2:E81,"Iris-virginica")</f>
        <v>1</v>
      </c>
      <c r="AH22" s="25">
        <f t="shared" ref="AH22" si="44">(1-POWER(AF22/SUM(AF22,AG22),2)-POWER(AG22/SUM(AF22,AG22),2))*SUM(AF22,AG22)/80 + (1-POWER(AF23/SUM(AF23,AG23),2)-POWER(AG23/SUM(AF23,AG23),2))*SUM(AF23,AG23)/80</f>
        <v>0.23866666666666664</v>
      </c>
      <c r="AM22" s="31">
        <v>2.0499999999999998</v>
      </c>
      <c r="AN22" s="31" t="s">
        <v>9</v>
      </c>
      <c r="AO22" s="31">
        <f>COUNTIFS(D2:D81, "&lt;2.05", E2:E81,"Iris-versicolor")</f>
        <v>40</v>
      </c>
      <c r="AP22" s="31">
        <f>COUNTIFS(D2:D81, "&lt;2.05", E2:E81,"Iris-virginica")</f>
        <v>22</v>
      </c>
      <c r="AQ22" s="34">
        <f t="shared" ref="AQ22" si="45">(1-POWER(AO22/SUM(AO22,AP22),2)-POWER(AP22/SUM(AO22,AP22),2))*SUM(AO22,AP22)/80 + (1-POWER(AO23/SUM(AO23,AP23),2)-POWER(AP23/SUM(AO23,AP23),2))*SUM(AO23,AP23)/80</f>
        <v>0.35483870967741932</v>
      </c>
    </row>
    <row r="23" spans="1:43" x14ac:dyDescent="0.25">
      <c r="A23">
        <v>5.5</v>
      </c>
      <c r="B23">
        <v>3.2</v>
      </c>
      <c r="C23">
        <v>4.8</v>
      </c>
      <c r="D23">
        <v>1.8</v>
      </c>
      <c r="E23" t="s">
        <v>6</v>
      </c>
      <c r="I23" s="1">
        <v>7.2</v>
      </c>
      <c r="J23">
        <f t="shared" si="0"/>
        <v>7.25</v>
      </c>
      <c r="L23" s="31"/>
      <c r="M23" s="31" t="s">
        <v>10</v>
      </c>
      <c r="N23" s="31">
        <v>19</v>
      </c>
      <c r="O23" s="31">
        <v>26</v>
      </c>
      <c r="P23" s="34"/>
      <c r="U23" s="31"/>
      <c r="V23" s="31" t="s">
        <v>10</v>
      </c>
      <c r="W23" s="31">
        <v>5</v>
      </c>
      <c r="X23" s="31">
        <v>10</v>
      </c>
      <c r="Y23" s="34"/>
      <c r="AA23" s="1">
        <v>5.7</v>
      </c>
      <c r="AB23">
        <f t="shared" si="1"/>
        <v>5.75</v>
      </c>
      <c r="AE23" t="s">
        <v>10</v>
      </c>
      <c r="AF23">
        <v>11</v>
      </c>
      <c r="AG23">
        <v>39</v>
      </c>
      <c r="AH23" s="25"/>
      <c r="AM23" s="31"/>
      <c r="AN23" s="31" t="s">
        <v>10</v>
      </c>
      <c r="AO23" s="31">
        <v>0</v>
      </c>
      <c r="AP23" s="31">
        <v>18</v>
      </c>
      <c r="AQ23" s="34"/>
    </row>
    <row r="24" spans="1:43" x14ac:dyDescent="0.25">
      <c r="A24">
        <v>5.8</v>
      </c>
      <c r="B24">
        <v>3</v>
      </c>
      <c r="C24">
        <v>5.0999999999999996</v>
      </c>
      <c r="D24">
        <v>1.8</v>
      </c>
      <c r="E24" s="5" t="s">
        <v>7</v>
      </c>
      <c r="I24" s="1">
        <v>7.3</v>
      </c>
      <c r="J24">
        <f t="shared" si="0"/>
        <v>7.35</v>
      </c>
      <c r="L24" s="31">
        <v>6.15</v>
      </c>
      <c r="M24" s="31" t="s">
        <v>9</v>
      </c>
      <c r="N24" s="31">
        <f>COUNTIFS(A2:A81, "&lt;6.15", E2:E81,"Iris-versicolor")</f>
        <v>23</v>
      </c>
      <c r="O24" s="31">
        <f>COUNTIFS(A2:A81, "&lt;6.15", E2:E81,"Iris-virginica")</f>
        <v>16</v>
      </c>
      <c r="P24" s="34">
        <f t="shared" ref="P24" si="46">(1-POWER(N24/SUM(N24,O24),2)-POWER(O24/SUM(N24,O24),2))*SUM(N24,O24)/80 + (1-POWER(N25/SUM(N25,O25),2)-POWER(O25/SUM(N25,O25),2))*SUM(N25,O25)/80</f>
        <v>0.484677923702314</v>
      </c>
      <c r="U24" s="31">
        <v>3.25</v>
      </c>
      <c r="V24" s="31" t="s">
        <v>9</v>
      </c>
      <c r="W24" s="31">
        <f>COUNTIFS(B2:B81, "&lt;3.25", E2:E81,"Iris-versicolor")</f>
        <v>38</v>
      </c>
      <c r="X24" s="31">
        <f>COUNTIFS(B2:B81, "&lt;3.25", E2:E81,"Iris-virginica")</f>
        <v>34</v>
      </c>
      <c r="Y24" s="34">
        <f t="shared" ref="Y24" si="47">(1-POWER(W24/SUM(W24,X24),2)-POWER(X24/SUM(W24,X24),2))*SUM(W24,X24)/80 + (1-POWER(W25/SUM(W25,X25),2)-POWER(X25/SUM(W25,X25),2))*SUM(W25,X25)/80</f>
        <v>0.48611111111111105</v>
      </c>
      <c r="AA24" s="1">
        <v>5.8</v>
      </c>
      <c r="AB24">
        <f t="shared" si="1"/>
        <v>5.85</v>
      </c>
      <c r="AD24">
        <v>4.75</v>
      </c>
      <c r="AE24" t="s">
        <v>9</v>
      </c>
      <c r="AF24">
        <f>COUNTIFS(C2:C81, "&lt;4.75", E2:E81,"Iris-versicolor")</f>
        <v>34</v>
      </c>
      <c r="AG24">
        <f>COUNTIFS(C2:C81, "&lt;4.75", E2:E81,"Iris-virginica")</f>
        <v>1</v>
      </c>
      <c r="AH24" s="25">
        <f t="shared" ref="AH24" si="48">(1-POWER(AF24/SUM(AF24,AG24),2)-POWER(AG24/SUM(AF24,AG24),2))*SUM(AF24,AG24)/80 + (1-POWER(AF25/SUM(AF25,AG25),2)-POWER(AG25/SUM(AF25,AG25),2))*SUM(AF25,AG25)/80</f>
        <v>0.15428571428571425</v>
      </c>
      <c r="AM24" s="31">
        <v>2.15</v>
      </c>
      <c r="AN24" s="31" t="s">
        <v>9</v>
      </c>
      <c r="AO24" s="31">
        <f>COUNTIFS(D2:D81, "&lt;2.15", E2:E81,"Iris-versicolor")</f>
        <v>40</v>
      </c>
      <c r="AP24" s="31">
        <f>COUNTIFS(D2:D81, "&lt;2.15", E2:E81,"Iris-virginica")</f>
        <v>26</v>
      </c>
      <c r="AQ24" s="34">
        <f t="shared" ref="AQ24" si="49">(1-POWER(AO24/SUM(AO24,AP24),2)-POWER(AP24/SUM(AO24,AP24),2))*SUM(AO24,AP24)/80 + (1-POWER(AO25/SUM(AO25,AP25),2)-POWER(AP25/SUM(AO25,AP25),2))*SUM(AO25,AP25)/80</f>
        <v>0.39393939393939387</v>
      </c>
    </row>
    <row r="25" spans="1:43" x14ac:dyDescent="0.25">
      <c r="A25">
        <v>6</v>
      </c>
      <c r="B25">
        <v>2.2000000000000002</v>
      </c>
      <c r="C25">
        <v>4</v>
      </c>
      <c r="D25">
        <v>1</v>
      </c>
      <c r="E25" t="s">
        <v>6</v>
      </c>
      <c r="I25" s="1">
        <v>7.4</v>
      </c>
      <c r="J25">
        <f t="shared" si="0"/>
        <v>7.5</v>
      </c>
      <c r="L25" s="31"/>
      <c r="M25" s="31" t="s">
        <v>10</v>
      </c>
      <c r="N25" s="31">
        <v>17</v>
      </c>
      <c r="O25" s="31">
        <v>24</v>
      </c>
      <c r="P25" s="34"/>
      <c r="U25" s="31"/>
      <c r="V25" s="31" t="s">
        <v>10</v>
      </c>
      <c r="W25" s="31">
        <v>2</v>
      </c>
      <c r="X25" s="31">
        <v>6</v>
      </c>
      <c r="Y25" s="34"/>
      <c r="AA25" s="1">
        <v>5.9</v>
      </c>
      <c r="AB25">
        <f t="shared" si="1"/>
        <v>5.95</v>
      </c>
      <c r="AE25" t="s">
        <v>10</v>
      </c>
      <c r="AF25">
        <v>6</v>
      </c>
      <c r="AG25">
        <v>39</v>
      </c>
      <c r="AH25" s="25"/>
      <c r="AM25" s="31"/>
      <c r="AN25" s="31" t="s">
        <v>10</v>
      </c>
      <c r="AO25" s="31">
        <v>0</v>
      </c>
      <c r="AP25" s="31">
        <v>14</v>
      </c>
      <c r="AQ25" s="34"/>
    </row>
    <row r="26" spans="1:43" x14ac:dyDescent="0.25">
      <c r="A26">
        <v>5.4</v>
      </c>
      <c r="B26">
        <v>2.9</v>
      </c>
      <c r="C26">
        <v>4.5</v>
      </c>
      <c r="D26">
        <v>1.5</v>
      </c>
      <c r="E26" t="s">
        <v>6</v>
      </c>
      <c r="I26" s="1">
        <v>7.6</v>
      </c>
      <c r="J26">
        <f t="shared" si="0"/>
        <v>7.65</v>
      </c>
      <c r="L26" s="31">
        <v>6.25</v>
      </c>
      <c r="M26" s="31" t="s">
        <v>9</v>
      </c>
      <c r="N26" s="31">
        <f>COUNTIFS(A2:A81, "&lt;6.25", E2:E81,"Iris-versicolor")</f>
        <v>24</v>
      </c>
      <c r="O26" s="31">
        <f>COUNTIFS(A2:A81, "&lt;6.25", E2:E81,"Iris-virginica")</f>
        <v>19</v>
      </c>
      <c r="P26" s="34">
        <f t="shared" ref="P26" si="50">(1-POWER(N26/SUM(N26,O26),2)-POWER(O26/SUM(N26,O26),2))*SUM(N26,O26)/80 + (1-POWER(N27/SUM(N27,O27),2)-POWER(O27/SUM(N27,O27),2))*SUM(N27,O27)/80</f>
        <v>0.49214330609679446</v>
      </c>
      <c r="U26" s="31">
        <v>3.35</v>
      </c>
      <c r="V26" s="31" t="s">
        <v>9</v>
      </c>
      <c r="W26" s="31">
        <f>COUNTIFS(B2:B81, "&lt;3.35", E2:E81,"Iris-versicolor")</f>
        <v>39</v>
      </c>
      <c r="X26" s="31">
        <f>COUNTIFS(B2:B81, "&lt;3.35", E2:E81,"Iris-virginica")</f>
        <v>37</v>
      </c>
      <c r="Y26" s="34">
        <f t="shared" ref="Y26" si="51">(1-POWER(W26/SUM(W26,X26),2)-POWER(X26/SUM(W26,X26),2))*SUM(W26,X26)/80 + (1-POWER(W27/SUM(W27,X27),2)-POWER(X27/SUM(W27,X27),2))*SUM(W27,X27)/80</f>
        <v>0.49342105263157893</v>
      </c>
      <c r="AA26" s="1">
        <v>6</v>
      </c>
      <c r="AB26">
        <f t="shared" si="1"/>
        <v>6.05</v>
      </c>
      <c r="AD26">
        <v>4.8499999999999996</v>
      </c>
      <c r="AE26" t="s">
        <v>9</v>
      </c>
      <c r="AF26">
        <f>COUNTIFS(C2:C81, "&lt;4.85", E2:E81,"Iris-versicolor")</f>
        <v>36</v>
      </c>
      <c r="AG26">
        <f>COUNTIFS(C2:C81, "&lt;4.85", E2:E81,"Iris-virginica")</f>
        <v>3</v>
      </c>
      <c r="AH26" s="25">
        <f t="shared" ref="AH26" si="52">(1-POWER(AF26/SUM(AF26,AG26),2)-POWER(AG26/SUM(AF26,AG26),2))*SUM(AF26,AG26)/80 + (1-POWER(AF27/SUM(AF27,AG27),2)-POWER(AG27/SUM(AF27,AG27),2))*SUM(AF27,AG27)/80</f>
        <v>0.15947467166979357</v>
      </c>
      <c r="AM26" s="31">
        <v>2.25</v>
      </c>
      <c r="AN26" s="31" t="s">
        <v>9</v>
      </c>
      <c r="AO26" s="31">
        <f>COUNTIFS(D2:D81, "&lt;2.25", E2:E81,"Iris-versicolor")</f>
        <v>40</v>
      </c>
      <c r="AP26" s="31">
        <f>COUNTIFS(D2:D81, "&lt;2.25", E2:E81,"Iris-virginica")</f>
        <v>28</v>
      </c>
      <c r="AQ26" s="34">
        <f t="shared" ref="AQ26" si="53">(1-POWER(AO26/SUM(AO26,AP26),2)-POWER(AP26/SUM(AO26,AP26),2))*SUM(AO26,AP26)/80 + (1-POWER(AO27/SUM(AO27,AP27),2)-POWER(AP27/SUM(AO27,AP27),2))*SUM(AO27,AP27)/80</f>
        <v>0.41176470588235298</v>
      </c>
    </row>
    <row r="27" spans="1:43" x14ac:dyDescent="0.25">
      <c r="A27">
        <v>6</v>
      </c>
      <c r="B27">
        <v>2.7</v>
      </c>
      <c r="C27">
        <v>5.0999999999999996</v>
      </c>
      <c r="D27">
        <v>1.6</v>
      </c>
      <c r="E27" t="s">
        <v>6</v>
      </c>
      <c r="I27" s="1">
        <v>7.7</v>
      </c>
      <c r="J27">
        <f t="shared" si="0"/>
        <v>7.8000000000000007</v>
      </c>
      <c r="L27" s="31"/>
      <c r="M27" s="31" t="s">
        <v>10</v>
      </c>
      <c r="N27" s="31">
        <v>16</v>
      </c>
      <c r="O27" s="31">
        <v>21</v>
      </c>
      <c r="P27" s="34"/>
      <c r="U27" s="31"/>
      <c r="V27" s="31" t="s">
        <v>10</v>
      </c>
      <c r="W27" s="31">
        <v>1</v>
      </c>
      <c r="X27" s="31">
        <v>3</v>
      </c>
      <c r="Y27" s="34"/>
      <c r="AA27" s="1">
        <v>6.1</v>
      </c>
      <c r="AB27">
        <f t="shared" si="1"/>
        <v>6.25</v>
      </c>
      <c r="AE27" t="s">
        <v>10</v>
      </c>
      <c r="AF27">
        <v>4</v>
      </c>
      <c r="AG27">
        <v>37</v>
      </c>
      <c r="AH27" s="25"/>
      <c r="AM27" s="31"/>
      <c r="AN27" s="31" t="s">
        <v>10</v>
      </c>
      <c r="AO27" s="31">
        <v>0</v>
      </c>
      <c r="AP27" s="31">
        <v>12</v>
      </c>
      <c r="AQ27" s="34"/>
    </row>
    <row r="28" spans="1:43" x14ac:dyDescent="0.25">
      <c r="A28">
        <v>6.7</v>
      </c>
      <c r="B28">
        <v>3.4</v>
      </c>
      <c r="C28">
        <v>4.5</v>
      </c>
      <c r="D28">
        <v>1.6</v>
      </c>
      <c r="E28" t="s">
        <v>6</v>
      </c>
      <c r="I28" s="1">
        <v>7.9</v>
      </c>
      <c r="L28" s="31">
        <v>6.35</v>
      </c>
      <c r="M28" s="31" t="s">
        <v>9</v>
      </c>
      <c r="N28" s="31">
        <f>COUNTIFS(A2:A81, "&lt;6.35", E2:E81,"Iris-versicolor")</f>
        <v>27</v>
      </c>
      <c r="O28" s="31">
        <f>COUNTIFS(A2:A81, "&lt;6.35", E2:E81,"Iris-virginica")</f>
        <v>23</v>
      </c>
      <c r="P28" s="34">
        <f t="shared" ref="P28" si="54">(1-POWER(N28/SUM(N28,O28),2)-POWER(O28/SUM(N28,O28),2))*SUM(N28,O28)/80 + (1-POWER(N29/SUM(N29,O29),2)-POWER(O29/SUM(N29,O29),2))*SUM(N29,O29)/80</f>
        <v>0.49466666666666659</v>
      </c>
      <c r="U28" s="31">
        <v>3.6</v>
      </c>
      <c r="V28" s="31" t="s">
        <v>9</v>
      </c>
      <c r="W28" s="31">
        <f>COUNTIFS(B2:B81, "&lt;3.6", E2:E81,"Iris-versicolor")</f>
        <v>40</v>
      </c>
      <c r="X28" s="31">
        <f>COUNTIFS(B2:B81, "&lt;3.6", E2:E81,"Iris-virginica")</f>
        <v>39</v>
      </c>
      <c r="Y28" s="34">
        <f t="shared" ref="Y28" si="55">(1-POWER(W28/SUM(W28,X28),2)-POWER(X28/SUM(W28,X28),2))*SUM(W28,X28)/80 + (1-POWER(W29/SUM(W29,X29),2)-POWER(X29/SUM(W29,X29),2))*SUM(W29,X29)/80</f>
        <v>0.49367088607594933</v>
      </c>
      <c r="AA28" s="1">
        <v>6.4</v>
      </c>
      <c r="AD28">
        <v>4.95</v>
      </c>
      <c r="AE28" t="s">
        <v>9</v>
      </c>
      <c r="AF28">
        <f>COUNTIFS(C2:C81, "&lt;4.95", E2:E81,"Iris-versicolor")</f>
        <v>38</v>
      </c>
      <c r="AG28">
        <f>COUNTIFS(C2:C81, "&lt;4.95", E2:E81,"Iris-virginica")</f>
        <v>6</v>
      </c>
      <c r="AH28" s="25">
        <f t="shared" ref="AH28" si="56">(1-POWER(AF28/SUM(AF28,AG28),2)-POWER(AG28/SUM(AF28,AG28),2))*SUM(AF28,AG28)/80 + (1-POWER(AF29/SUM(AF29,AG29),2)-POWER(AG29/SUM(AF29,AG29),2))*SUM(AF29,AG29)/80</f>
        <v>0.1767676767676768</v>
      </c>
      <c r="AM28" s="31">
        <v>2.35</v>
      </c>
      <c r="AN28" s="31" t="s">
        <v>9</v>
      </c>
      <c r="AO28" s="31">
        <f>COUNTIFS(D2:D81, "&lt;2.35", E2:E81,"Iris-versicolor")</f>
        <v>40</v>
      </c>
      <c r="AP28" s="31">
        <f>COUNTIFS(D2:D81, "&lt;2.35", E2:E81,"Iris-virginica")</f>
        <v>35</v>
      </c>
      <c r="AQ28" s="34">
        <f t="shared" ref="AQ28" si="57">(1-POWER(AO28/SUM(AO28,AP28),2)-POWER(AP28/SUM(AO28,AP28),2))*SUM(AO28,AP28)/80 + (1-POWER(AO29/SUM(AO29,AP29),2)-POWER(AP29/SUM(AO29,AP29),2))*SUM(AO29,AP29)/80</f>
        <v>0.46666666666666662</v>
      </c>
    </row>
    <row r="29" spans="1:43" x14ac:dyDescent="0.25">
      <c r="A29">
        <v>6.3</v>
      </c>
      <c r="B29">
        <v>2.2000000000000002</v>
      </c>
      <c r="C29">
        <v>5</v>
      </c>
      <c r="D29">
        <v>1.5</v>
      </c>
      <c r="E29" s="5" t="s">
        <v>7</v>
      </c>
      <c r="L29" s="31"/>
      <c r="M29" s="31" t="s">
        <v>10</v>
      </c>
      <c r="N29" s="31">
        <v>13</v>
      </c>
      <c r="O29" s="31">
        <v>17</v>
      </c>
      <c r="P29" s="34"/>
      <c r="U29" s="31"/>
      <c r="V29" s="31" t="s">
        <v>10</v>
      </c>
      <c r="W29" s="31">
        <v>0</v>
      </c>
      <c r="X29" s="31">
        <v>1</v>
      </c>
      <c r="Y29" s="34"/>
      <c r="AE29" t="s">
        <v>10</v>
      </c>
      <c r="AF29">
        <v>2</v>
      </c>
      <c r="AG29">
        <v>34</v>
      </c>
      <c r="AH29" s="25"/>
      <c r="AM29" s="31"/>
      <c r="AN29" s="31" t="s">
        <v>10</v>
      </c>
      <c r="AO29" s="31">
        <v>0</v>
      </c>
      <c r="AP29" s="31">
        <v>5</v>
      </c>
      <c r="AQ29" s="34"/>
    </row>
    <row r="30" spans="1:43" x14ac:dyDescent="0.25">
      <c r="A30">
        <v>5.6</v>
      </c>
      <c r="B30">
        <v>3</v>
      </c>
      <c r="C30">
        <v>4.8</v>
      </c>
      <c r="D30">
        <v>1.8</v>
      </c>
      <c r="E30" s="5" t="s">
        <v>7</v>
      </c>
      <c r="L30" s="31">
        <v>6.45</v>
      </c>
      <c r="M30" s="31" t="s">
        <v>9</v>
      </c>
      <c r="N30" s="31">
        <f>COUNTIFS(A2:A81, "&lt;6.45", E2:E81,"Iris-versicolor")</f>
        <v>31</v>
      </c>
      <c r="O30" s="31">
        <f>COUNTIFS(A2:A81, "&lt;6.45", E2:E81,"Iris-virginica")</f>
        <v>26</v>
      </c>
      <c r="P30" s="34">
        <f t="shared" ref="P30" si="58">(1-POWER(N30/SUM(N30,O30),2)-POWER(O30/SUM(N30,O30),2))*SUM(N30,O30)/80 + (1-POWER(N31/SUM(N31,O31),2)-POWER(O31/SUM(N31,O31),2))*SUM(N31,O31)/80</f>
        <v>0.49046529366895497</v>
      </c>
      <c r="AD30">
        <v>5.05</v>
      </c>
      <c r="AE30" t="s">
        <v>9</v>
      </c>
      <c r="AF30">
        <f>COUNTIFS(C2:C81, "&lt;5.05", E2:E81,"Iris-versicolor")</f>
        <v>39</v>
      </c>
      <c r="AG30">
        <f>COUNTIFS(C2:C81, "&lt;5.05", E2:E81,"Iris-virginica")</f>
        <v>9</v>
      </c>
      <c r="AH30" s="25">
        <f t="shared" ref="AH30" si="59">(1-POWER(AF30/SUM(AF30,AG30),2)-POWER(AG30/SUM(AF30,AG30),2))*SUM(AF30,AG30)/80 + (1-POWER(AF31/SUM(AF31,AG31),2)-POWER(AG31/SUM(AF31,AG31),2))*SUM(AF31,AG31)/80</f>
        <v>0.20703125</v>
      </c>
      <c r="AM30" s="31">
        <v>2.4500000000000002</v>
      </c>
      <c r="AN30" s="31" t="s">
        <v>9</v>
      </c>
      <c r="AO30" s="31">
        <f>COUNTIFS(D2:D81, "&lt;2.45", E2:E81,"Iris-versicolor")</f>
        <v>40</v>
      </c>
      <c r="AP30" s="31">
        <f>COUNTIFS(D2:D81, "&lt;2.45", E2:E81,"Iris-virginica")</f>
        <v>38</v>
      </c>
      <c r="AQ30" s="34">
        <f t="shared" ref="AQ30" si="60">(1-POWER(AO30/SUM(AO30,AP30),2)-POWER(AP30/SUM(AO30,AP30),2))*SUM(AO30,AP30)/80 + (1-POWER(AO31/SUM(AO31,AP31),2)-POWER(AP31/SUM(AO31,AP31),2))*SUM(AO31,AP31)/80</f>
        <v>0.48717948717948723</v>
      </c>
    </row>
    <row r="31" spans="1:43" x14ac:dyDescent="0.25">
      <c r="A31">
        <v>5.5</v>
      </c>
      <c r="B31">
        <v>2.9</v>
      </c>
      <c r="C31">
        <v>4.7</v>
      </c>
      <c r="D31">
        <v>1.4</v>
      </c>
      <c r="E31" t="s">
        <v>6</v>
      </c>
      <c r="L31" s="31"/>
      <c r="M31" s="31" t="s">
        <v>10</v>
      </c>
      <c r="N31" s="31">
        <v>9</v>
      </c>
      <c r="O31" s="31">
        <v>14</v>
      </c>
      <c r="P31" s="34"/>
      <c r="V31" s="1" t="s">
        <v>21</v>
      </c>
      <c r="W31" s="1">
        <f>MIN(Y2:Y28)</f>
        <v>0.47454431175361411</v>
      </c>
      <c r="AE31" t="s">
        <v>10</v>
      </c>
      <c r="AF31">
        <v>1</v>
      </c>
      <c r="AG31">
        <v>31</v>
      </c>
      <c r="AH31" s="25"/>
      <c r="AM31" s="31"/>
      <c r="AN31" s="31" t="s">
        <v>10</v>
      </c>
      <c r="AO31" s="31">
        <v>0</v>
      </c>
      <c r="AP31" s="31">
        <v>2</v>
      </c>
      <c r="AQ31" s="34"/>
    </row>
    <row r="32" spans="1:43" x14ac:dyDescent="0.25">
      <c r="A32">
        <v>5.5</v>
      </c>
      <c r="B32">
        <v>2.8</v>
      </c>
      <c r="C32">
        <v>4</v>
      </c>
      <c r="D32">
        <v>1.3</v>
      </c>
      <c r="E32" t="s">
        <v>6</v>
      </c>
      <c r="L32" s="31">
        <v>6.55</v>
      </c>
      <c r="M32" s="31" t="s">
        <v>9</v>
      </c>
      <c r="N32" s="31">
        <f>COUNTIFS(A2:A81, "&lt;6.55", E2:E81,"Iris-versicolor")</f>
        <v>31</v>
      </c>
      <c r="O32" s="31">
        <f>COUNTIFS(A2:A81, "&lt;6.55", E2:E81,"Iris-virginica")</f>
        <v>29</v>
      </c>
      <c r="P32" s="34">
        <f t="shared" ref="P32" si="61">(1-POWER(N32/SUM(N32,O32),2)-POWER(O32/SUM(N32,O32),2))*SUM(N32,O32)/80 + (1-POWER(N33/SUM(N33,O33),2)-POWER(O33/SUM(N33,O33),2))*SUM(N33,O33)/80</f>
        <v>0.49833333333333335</v>
      </c>
      <c r="AD32">
        <v>5.15</v>
      </c>
      <c r="AE32" t="s">
        <v>9</v>
      </c>
      <c r="AF32">
        <f>COUNTIFS(C2:C81, "&lt;5.15", E2:E81,"Iris-versicolor")</f>
        <v>40</v>
      </c>
      <c r="AG32">
        <f>COUNTIFS(C2:C81, "&lt;5.15", E2:E81,"Iris-virginica")</f>
        <v>16</v>
      </c>
      <c r="AH32" s="25">
        <f t="shared" ref="AH32" si="62">(1-POWER(AF32/SUM(AF32,AG32),2)-POWER(AG32/SUM(AF32,AG32),2))*SUM(AF32,AG32)/80 + (1-POWER(AF33/SUM(AF33,AG33),2)-POWER(AG33/SUM(AF33,AG33),2))*SUM(AF33,AG33)/80</f>
        <v>0.2857142857142857</v>
      </c>
    </row>
    <row r="33" spans="1:41" x14ac:dyDescent="0.25">
      <c r="A33">
        <v>6.1</v>
      </c>
      <c r="B33">
        <v>2.8</v>
      </c>
      <c r="C33">
        <v>4.7</v>
      </c>
      <c r="D33">
        <v>1.2</v>
      </c>
      <c r="E33" t="s">
        <v>6</v>
      </c>
      <c r="L33" s="31"/>
      <c r="M33" s="31" t="s">
        <v>10</v>
      </c>
      <c r="N33" s="31">
        <v>9</v>
      </c>
      <c r="O33" s="31">
        <v>11</v>
      </c>
      <c r="P33" s="34"/>
      <c r="AE33" t="s">
        <v>10</v>
      </c>
      <c r="AF33">
        <v>0</v>
      </c>
      <c r="AG33">
        <v>24</v>
      </c>
      <c r="AH33" s="25"/>
      <c r="AN33" s="1" t="s">
        <v>21</v>
      </c>
      <c r="AO33" s="1">
        <f>MIN(AQ2:AQ30)</f>
        <v>0.115021998742929</v>
      </c>
    </row>
    <row r="34" spans="1:41" x14ac:dyDescent="0.25">
      <c r="A34">
        <v>5.8</v>
      </c>
      <c r="B34">
        <v>3</v>
      </c>
      <c r="C34">
        <v>4.5999999999999996</v>
      </c>
      <c r="D34">
        <v>1.4</v>
      </c>
      <c r="E34" t="s">
        <v>6</v>
      </c>
      <c r="L34" s="31">
        <v>6.65</v>
      </c>
      <c r="M34" s="31" t="s">
        <v>9</v>
      </c>
      <c r="N34" s="31">
        <f>COUNTIFS(A2:A81, "&lt;6.65", E2:E81,"Iris-versicolor")</f>
        <v>32</v>
      </c>
      <c r="O34" s="31">
        <f>COUNTIFS(A2:A81, "&lt;6.65", E2:E81,"Iris-virginica")</f>
        <v>29</v>
      </c>
      <c r="P34" s="34">
        <f t="shared" ref="P34" si="63">(1-POWER(N34/SUM(N34,O34),2)-POWER(O34/SUM(N34,O34),2))*SUM(N34,O34)/80 + (1-POWER(N35/SUM(N35,O35),2)-POWER(O35/SUM(N35,O35),2))*SUM(N35,O35)/80</f>
        <v>0.4961173425366695</v>
      </c>
      <c r="AD34">
        <v>5.25</v>
      </c>
      <c r="AE34" t="s">
        <v>9</v>
      </c>
      <c r="AF34">
        <f>COUNTIFS(C2:C81, "&lt;5.25", E2:E81,"Iris-versicolor")</f>
        <v>40</v>
      </c>
      <c r="AG34">
        <f>COUNTIFS(C2:C81, "&lt;5.25", E2:E81,"Iris-virginica")</f>
        <v>18</v>
      </c>
      <c r="AH34" s="25">
        <f t="shared" ref="AH34" si="64">(1-POWER(AF34/SUM(AF34,AG34),2)-POWER(AG34/SUM(AF34,AG34),2))*SUM(AF34,AG34)/80 + (1-POWER(AF35/SUM(AF35,AG35),2)-POWER(AG35/SUM(AF35,AG35),2))*SUM(AF35,AG35)/80</f>
        <v>0.31034482758620685</v>
      </c>
    </row>
    <row r="35" spans="1:41" x14ac:dyDescent="0.25">
      <c r="A35">
        <v>5</v>
      </c>
      <c r="B35">
        <v>3</v>
      </c>
      <c r="C35">
        <v>4.9000000000000004</v>
      </c>
      <c r="D35">
        <v>1.8</v>
      </c>
      <c r="E35" s="5" t="s">
        <v>7</v>
      </c>
      <c r="L35" s="31"/>
      <c r="M35" s="31" t="s">
        <v>10</v>
      </c>
      <c r="N35" s="31">
        <v>8</v>
      </c>
      <c r="O35" s="31">
        <v>11</v>
      </c>
      <c r="P35" s="34"/>
      <c r="AE35" t="s">
        <v>10</v>
      </c>
      <c r="AF35">
        <v>0</v>
      </c>
      <c r="AG35">
        <v>22</v>
      </c>
      <c r="AH35" s="25"/>
    </row>
    <row r="36" spans="1:41" x14ac:dyDescent="0.25">
      <c r="A36">
        <v>5.6</v>
      </c>
      <c r="B36">
        <v>2.6</v>
      </c>
      <c r="C36">
        <v>5.6</v>
      </c>
      <c r="D36">
        <v>1.4</v>
      </c>
      <c r="E36" s="5" t="s">
        <v>7</v>
      </c>
      <c r="L36" s="31">
        <v>6.75</v>
      </c>
      <c r="M36" s="31" t="s">
        <v>9</v>
      </c>
      <c r="N36" s="31">
        <f>COUNTIFS(A2:A81, "&lt;6.75", E2:E81,"Iris-versicolor")</f>
        <v>35</v>
      </c>
      <c r="O36" s="31">
        <f>COUNTIFS(A2:A81, "&lt;6.75", E2:E81,"Iris-virginica")</f>
        <v>30</v>
      </c>
      <c r="P36" s="34">
        <f t="shared" ref="P36" si="65">(1-POWER(N36/SUM(N36,O36),2)-POWER(O36/SUM(N36,O36),2))*SUM(N36,O36)/80 + (1-POWER(N37/SUM(N37,O37),2)-POWER(O37/SUM(N37,O37),2))*SUM(N37,O37)/80</f>
        <v>0.48717948717948723</v>
      </c>
      <c r="AD36">
        <v>5.35</v>
      </c>
      <c r="AE36" t="s">
        <v>9</v>
      </c>
      <c r="AF36">
        <f>COUNTIFS(C2:C81, "&lt;5.35", E2:E81,"Iris-versicolor")</f>
        <v>40</v>
      </c>
      <c r="AG36">
        <f>COUNTIFS(C2:C81, "&lt;5.35", E2:E81,"Iris-virginica")</f>
        <v>20</v>
      </c>
      <c r="AH36" s="25">
        <f t="shared" ref="AH36" si="66">(1-POWER(AF36/SUM(AF36,AG36),2)-POWER(AG36/SUM(AF36,AG36),2))*SUM(AF36,AG36)/80 + (1-POWER(AF37/SUM(AF37,AG37),2)-POWER(AG37/SUM(AF37,AG37),2))*SUM(AF37,AG37)/80</f>
        <v>0.33333333333333337</v>
      </c>
    </row>
    <row r="37" spans="1:41" x14ac:dyDescent="0.25">
      <c r="A37">
        <v>5.7</v>
      </c>
      <c r="B37">
        <v>2.2000000000000002</v>
      </c>
      <c r="C37">
        <v>4.5</v>
      </c>
      <c r="D37">
        <v>1.5</v>
      </c>
      <c r="E37" t="s">
        <v>6</v>
      </c>
      <c r="L37" s="31"/>
      <c r="M37" s="31" t="s">
        <v>10</v>
      </c>
      <c r="N37" s="31">
        <v>5</v>
      </c>
      <c r="O37" s="31">
        <v>10</v>
      </c>
      <c r="P37" s="34"/>
      <c r="AE37" t="s">
        <v>10</v>
      </c>
      <c r="AF37">
        <v>0</v>
      </c>
      <c r="AG37">
        <v>20</v>
      </c>
      <c r="AH37" s="25"/>
    </row>
    <row r="38" spans="1:41" x14ac:dyDescent="0.25">
      <c r="A38">
        <v>5.7</v>
      </c>
      <c r="B38">
        <v>2.9</v>
      </c>
      <c r="C38">
        <v>4.3</v>
      </c>
      <c r="D38">
        <v>1.3</v>
      </c>
      <c r="E38" t="s">
        <v>6</v>
      </c>
      <c r="L38" s="31">
        <v>6.85</v>
      </c>
      <c r="M38" s="31" t="s">
        <v>9</v>
      </c>
      <c r="N38" s="31">
        <f>COUNTIFS(A2:A81, "&lt;6.85", E2:E81,"Iris-versicolor")</f>
        <v>36</v>
      </c>
      <c r="O38" s="31">
        <f>COUNTIFS(A2:A81, "&lt;6.85", E2:E81,"Iris-virginica")</f>
        <v>31</v>
      </c>
      <c r="P38" s="34">
        <f t="shared" ref="P38" si="67">(1-POWER(N38/SUM(N38,O38),2)-POWER(O38/SUM(N38,O38),2))*SUM(N38,O38)/80 + (1-POWER(N39/SUM(N39,O39),2)-POWER(O39/SUM(N39,O39),2))*SUM(N39,O39)/80</f>
        <v>0.48564867967853032</v>
      </c>
      <c r="AD38">
        <v>5.45</v>
      </c>
      <c r="AE38" t="s">
        <v>9</v>
      </c>
      <c r="AF38">
        <f>COUNTIFS(C2:C81, "&lt;5.45", E2:E81,"Iris-versicolor")</f>
        <v>40</v>
      </c>
      <c r="AG38">
        <f>COUNTIFS(C2:C81, "&lt;5.45", E2:E81,"Iris-virginica")</f>
        <v>22</v>
      </c>
      <c r="AH38" s="25">
        <f t="shared" ref="AH38" si="68">(1-POWER(AF38/SUM(AF38,AG38),2)-POWER(AG38/SUM(AF38,AG38),2))*SUM(AF38,AG38)/80 + (1-POWER(AF39/SUM(AF39,AG39),2)-POWER(AG39/SUM(AF39,AG39),2))*SUM(AF39,AG39)/80</f>
        <v>0.35483870967741932</v>
      </c>
    </row>
    <row r="39" spans="1:41" x14ac:dyDescent="0.25">
      <c r="A39">
        <v>6.2</v>
      </c>
      <c r="B39">
        <v>2.8</v>
      </c>
      <c r="C39">
        <v>4.8</v>
      </c>
      <c r="D39">
        <v>1.8</v>
      </c>
      <c r="E39" s="5" t="s">
        <v>7</v>
      </c>
      <c r="L39" s="31"/>
      <c r="M39" s="31" t="s">
        <v>10</v>
      </c>
      <c r="N39" s="31">
        <v>4</v>
      </c>
      <c r="O39" s="31">
        <v>9</v>
      </c>
      <c r="P39" s="34"/>
      <c r="AE39" t="s">
        <v>10</v>
      </c>
      <c r="AF39">
        <v>0</v>
      </c>
      <c r="AG39">
        <f>40-AG38</f>
        <v>18</v>
      </c>
      <c r="AH39" s="25"/>
    </row>
    <row r="40" spans="1:41" x14ac:dyDescent="0.25">
      <c r="A40">
        <v>5.0999999999999996</v>
      </c>
      <c r="B40">
        <v>3.4</v>
      </c>
      <c r="C40">
        <v>5.4</v>
      </c>
      <c r="D40">
        <v>2.2999999999999998</v>
      </c>
      <c r="E40" s="5" t="s">
        <v>7</v>
      </c>
      <c r="L40" s="31">
        <v>7</v>
      </c>
      <c r="M40" s="35" t="s">
        <v>9</v>
      </c>
      <c r="N40" s="35">
        <f>COUNTIFS(A2:A81, "&lt;7", E2:E81,"Iris-versicolor")</f>
        <v>37</v>
      </c>
      <c r="O40" s="35">
        <f>COUNTIFS(A2:A81, "&lt;7", E2:E81,"Iris-virginica")</f>
        <v>31</v>
      </c>
      <c r="P40" s="36">
        <f t="shared" ref="P40" si="69">(1-POWER(N40/SUM(N40,O40),2)-POWER(O40/SUM(N40,O40),2))*SUM(N40,O40)/80 + (1-POWER(N41/SUM(N41,O41),2)-POWER(O41/SUM(N41,O41),2))*SUM(N41,O41)/80</f>
        <v>0.47794117647058831</v>
      </c>
      <c r="AD40">
        <v>5.55</v>
      </c>
      <c r="AE40" t="s">
        <v>9</v>
      </c>
      <c r="AF40">
        <f>COUNTIFS(C2:C81, "&lt;5.55", E2:E81,"Iris-versicolor")</f>
        <v>40</v>
      </c>
      <c r="AG40">
        <f>COUNTIFS(C2:C81, "&lt;5.55", E2:E81,"Iris-virginica")</f>
        <v>25</v>
      </c>
      <c r="AH40" s="25">
        <f t="shared" ref="AH40" si="70">(1-POWER(AF40/SUM(AF40,AG40),2)-POWER(AG40/SUM(AF40,AG40),2))*SUM(AF40,AG40)/80 + (1-POWER(AF41/SUM(AF41,AG41),2)-POWER(AG41/SUM(AF41,AG41),2))*SUM(AF41,AG41)/80</f>
        <v>0.38461538461538458</v>
      </c>
    </row>
    <row r="41" spans="1:41" x14ac:dyDescent="0.25">
      <c r="A41">
        <v>5.7</v>
      </c>
      <c r="B41">
        <v>3.3</v>
      </c>
      <c r="C41">
        <v>4.7</v>
      </c>
      <c r="D41">
        <v>1.6</v>
      </c>
      <c r="E41" t="s">
        <v>6</v>
      </c>
      <c r="L41" s="31"/>
      <c r="M41" s="35" t="s">
        <v>10</v>
      </c>
      <c r="N41" s="35">
        <v>3</v>
      </c>
      <c r="O41" s="35">
        <v>9</v>
      </c>
      <c r="P41" s="36"/>
      <c r="AE41" t="s">
        <v>10</v>
      </c>
      <c r="AF41">
        <v>0</v>
      </c>
      <c r="AG41">
        <f>40-AG40</f>
        <v>15</v>
      </c>
      <c r="AH41" s="25"/>
    </row>
    <row r="42" spans="1:41" x14ac:dyDescent="0.25">
      <c r="A42">
        <v>6.3</v>
      </c>
      <c r="B42">
        <v>2.5</v>
      </c>
      <c r="C42">
        <v>4.9000000000000004</v>
      </c>
      <c r="D42">
        <v>1.5</v>
      </c>
      <c r="E42" t="s">
        <v>6</v>
      </c>
      <c r="L42" s="31">
        <v>7.15</v>
      </c>
      <c r="M42" s="31" t="s">
        <v>9</v>
      </c>
      <c r="N42" s="31">
        <f>COUNTIFS(A2:A81, "&lt;7.15", E2:E81,"Iris-versicolor")</f>
        <v>37</v>
      </c>
      <c r="O42" s="31">
        <f>COUNTIFS(A2:A81, "&lt;7.15", E2:E81,"Iris-virginica")</f>
        <v>32</v>
      </c>
      <c r="P42" s="34">
        <f t="shared" ref="P42" si="71">(1-POWER(N42/SUM(N42,O42),2)-POWER(O42/SUM(N42,O42),2))*SUM(N42,O42)/80 + (1-POWER(N43/SUM(N43,O43),2)-POWER(O43/SUM(N43,O43),2))*SUM(N43,O43)/80</f>
        <v>0.4835309617918313</v>
      </c>
      <c r="AD42">
        <v>5.65</v>
      </c>
      <c r="AE42" t="s">
        <v>9</v>
      </c>
      <c r="AF42">
        <f>COUNTIFS(C2:C81, "&lt;5.65", E2:E81,"Iris-versicolor")</f>
        <v>40</v>
      </c>
      <c r="AG42">
        <f>COUNTIFS(C2:C81, "&lt;5.65", E2:E81,"Iris-virginica")</f>
        <v>31</v>
      </c>
      <c r="AH42" s="25">
        <f t="shared" ref="AH42" si="72">(1-POWER(AF42/SUM(AF42,AG42),2)-POWER(AG42/SUM(AF42,AG42),2))*SUM(AF42,AG42)/80 + (1-POWER(AF43/SUM(AF43,AG43),2)-POWER(AG43/SUM(AF43,AG43),2))*SUM(AF43,AG43)/80</f>
        <v>0.43661971830985918</v>
      </c>
    </row>
    <row r="43" spans="1:41" x14ac:dyDescent="0.25">
      <c r="A43">
        <v>5.8</v>
      </c>
      <c r="B43">
        <v>2.2999999999999998</v>
      </c>
      <c r="C43">
        <v>4.4000000000000004</v>
      </c>
      <c r="D43">
        <v>1.3</v>
      </c>
      <c r="E43" t="s">
        <v>6</v>
      </c>
      <c r="L43" s="31"/>
      <c r="M43" s="31" t="s">
        <v>10</v>
      </c>
      <c r="N43" s="31">
        <v>3</v>
      </c>
      <c r="O43" s="31">
        <v>8</v>
      </c>
      <c r="P43" s="34"/>
      <c r="AE43" t="s">
        <v>10</v>
      </c>
      <c r="AF43">
        <v>0</v>
      </c>
      <c r="AG43">
        <f>40-AG42</f>
        <v>9</v>
      </c>
      <c r="AH43" s="25"/>
    </row>
    <row r="44" spans="1:41" x14ac:dyDescent="0.25">
      <c r="A44">
        <v>7.1</v>
      </c>
      <c r="B44">
        <v>3.3</v>
      </c>
      <c r="C44">
        <v>6</v>
      </c>
      <c r="D44">
        <v>2.5</v>
      </c>
      <c r="E44" s="5" t="s">
        <v>7</v>
      </c>
      <c r="L44" s="31">
        <v>7.25</v>
      </c>
      <c r="M44" s="31" t="s">
        <v>9</v>
      </c>
      <c r="N44" s="31">
        <f>COUNTIFS(A2:A81, "&lt;7.25", E2:E81,"Iris-versicolor")</f>
        <v>38</v>
      </c>
      <c r="O44" s="31">
        <f>COUNTIFS(A2:A81, "&lt;7.25", E2:E81,"Iris-virginica")</f>
        <v>34</v>
      </c>
      <c r="P44" s="34">
        <f t="shared" ref="P44" si="73">(1-POWER(N44/SUM(N44,O44),2)-POWER(O44/SUM(N44,O44),2))*SUM(N44,O44)/80 + (1-POWER(N45/SUM(N45,O45),2)-POWER(O45/SUM(N45,O45),2))*SUM(N45,O45)/80</f>
        <v>0.48611111111111105</v>
      </c>
      <c r="AD44">
        <v>5.75</v>
      </c>
      <c r="AE44" t="s">
        <v>9</v>
      </c>
      <c r="AF44">
        <f>COUNTIFS(C2:C81, "&lt;5.75", E2:E81,"Iris-versicolor")</f>
        <v>40</v>
      </c>
      <c r="AG44">
        <f>COUNTIFS(C2:C81, "&lt;5.75", E2:E81,"Iris-virginica")</f>
        <v>34</v>
      </c>
      <c r="AH44" s="25">
        <f t="shared" ref="AH44" si="74">(1-POWER(AF44/SUM(AF44,AG44),2)-POWER(AG44/SUM(AF44,AG44),2))*SUM(AF44,AG44)/80 + (1-POWER(AF45/SUM(AF45,AG45),2)-POWER(AG45/SUM(AF45,AG45),2))*SUM(AF45,AG45)/80</f>
        <v>0.45945945945945937</v>
      </c>
    </row>
    <row r="45" spans="1:41" x14ac:dyDescent="0.25">
      <c r="A45">
        <v>6.3</v>
      </c>
      <c r="B45">
        <v>2.9</v>
      </c>
      <c r="C45">
        <v>5.6</v>
      </c>
      <c r="D45">
        <v>1.8</v>
      </c>
      <c r="E45" s="5" t="s">
        <v>7</v>
      </c>
      <c r="L45" s="31"/>
      <c r="M45" s="31" t="s">
        <v>10</v>
      </c>
      <c r="N45" s="31">
        <v>2</v>
      </c>
      <c r="O45" s="31">
        <v>6</v>
      </c>
      <c r="P45" s="34"/>
      <c r="AE45" t="s">
        <v>10</v>
      </c>
      <c r="AF45">
        <v>0</v>
      </c>
      <c r="AG45">
        <f>40-AG44</f>
        <v>6</v>
      </c>
      <c r="AH45" s="25"/>
    </row>
    <row r="46" spans="1:41" x14ac:dyDescent="0.25">
      <c r="A46">
        <v>6.5</v>
      </c>
      <c r="B46">
        <v>2.7</v>
      </c>
      <c r="C46">
        <v>4.9000000000000004</v>
      </c>
      <c r="D46">
        <v>1.8</v>
      </c>
      <c r="E46" s="5" t="s">
        <v>7</v>
      </c>
      <c r="L46" s="31">
        <v>7.35</v>
      </c>
      <c r="M46" s="31" t="s">
        <v>9</v>
      </c>
      <c r="N46" s="31">
        <f>COUNTIFS(A2:A81, "&lt;7.35", E2:E81,"Iris-versicolor")</f>
        <v>38</v>
      </c>
      <c r="O46" s="31">
        <f>COUNTIFS(A2:A81, "&lt;7.35", E2:E81,"Iris-virginica")</f>
        <v>35</v>
      </c>
      <c r="P46" s="34">
        <f t="shared" ref="P46" si="75">(1-POWER(N46/SUM(N46,O46),2)-POWER(O46/SUM(N46,O46),2))*SUM(N46,O46)/80 + (1-POWER(N47/SUM(N47,O47),2)-POWER(O47/SUM(N47,O47),2))*SUM(N47,O47)/80</f>
        <v>0.49119373776908015</v>
      </c>
      <c r="AD46">
        <v>5.85</v>
      </c>
      <c r="AE46" t="s">
        <v>9</v>
      </c>
      <c r="AF46">
        <f>COUNTIFS(C2:C81, "&lt;5.85", E2:E81,"Iris-versicolor")</f>
        <v>40</v>
      </c>
      <c r="AG46">
        <f>COUNTIFS(C2:C81, "&lt;5.85", E2:E81,"Iris-virginica")</f>
        <v>36</v>
      </c>
      <c r="AH46" s="25">
        <f t="shared" ref="AH46" si="76">(1-POWER(AF46/SUM(AF46,AG46),2)-POWER(AG46/SUM(AF46,AG46),2))*SUM(AF46,AG46)/80 + (1-POWER(AF47/SUM(AF47,AG47),2)-POWER(AG47/SUM(AF47,AG47),2))*SUM(AF47,AG47)/80</f>
        <v>0.47368421052631582</v>
      </c>
    </row>
    <row r="47" spans="1:41" x14ac:dyDescent="0.25">
      <c r="A47">
        <v>7.6</v>
      </c>
      <c r="B47">
        <v>2.8</v>
      </c>
      <c r="C47">
        <v>5.0999999999999996</v>
      </c>
      <c r="D47">
        <v>1.5</v>
      </c>
      <c r="E47" s="5" t="s">
        <v>7</v>
      </c>
      <c r="L47" s="31"/>
      <c r="M47" s="31" t="s">
        <v>10</v>
      </c>
      <c r="N47" s="31">
        <v>2</v>
      </c>
      <c r="O47" s="31">
        <v>5</v>
      </c>
      <c r="P47" s="34"/>
      <c r="AE47" t="s">
        <v>10</v>
      </c>
      <c r="AF47">
        <v>0</v>
      </c>
      <c r="AG47">
        <f>40-AG46</f>
        <v>4</v>
      </c>
      <c r="AH47" s="25"/>
    </row>
    <row r="48" spans="1:41" x14ac:dyDescent="0.25">
      <c r="A48">
        <v>4.9000000000000004</v>
      </c>
      <c r="B48">
        <v>3.4</v>
      </c>
      <c r="C48">
        <v>5.6</v>
      </c>
      <c r="D48">
        <v>2.4</v>
      </c>
      <c r="E48" s="5" t="s">
        <v>7</v>
      </c>
      <c r="L48" s="31">
        <v>7.5</v>
      </c>
      <c r="M48" s="31" t="s">
        <v>9</v>
      </c>
      <c r="N48" s="31">
        <f>COUNTIFS(A2:A81, "&lt;7.5", E2:E81,"Iris-versicolor")</f>
        <v>39</v>
      </c>
      <c r="O48" s="31">
        <f>COUNTIFS(A2:A81, "&lt;7.5", E2:E81,"Iris-virginica")</f>
        <v>35</v>
      </c>
      <c r="P48" s="34">
        <f t="shared" ref="P48" si="77">(1-POWER(N48/SUM(N48,O48),2)-POWER(O48/SUM(N48,O48),2))*SUM(N48,O48)/80 + (1-POWER(N49/SUM(N49,O49),2)-POWER(O49/SUM(N49,O49),2))*SUM(N49,O49)/80</f>
        <v>0.481981981981982</v>
      </c>
      <c r="AD48">
        <v>5.95</v>
      </c>
      <c r="AE48" t="s">
        <v>9</v>
      </c>
      <c r="AF48">
        <f>COUNTIFS(C2:C81, "&lt;5.95", E2:E81,"Iris-versicolor")</f>
        <v>40</v>
      </c>
      <c r="AG48">
        <f>COUNTIFS(C2:C81, "&lt;5.95", E2:E81,"Iris-virginica")</f>
        <v>37</v>
      </c>
      <c r="AH48" s="25">
        <f t="shared" ref="AH48" si="78">(1-POWER(AF48/SUM(AF48,AG48),2)-POWER(AG48/SUM(AF48,AG48),2))*SUM(AF48,AG48)/80 + (1-POWER(AF49/SUM(AF49,AG49),2)-POWER(AG49/SUM(AF49,AG49),2))*SUM(AF49,AG49)/80</f>
        <v>0.48051948051948062</v>
      </c>
    </row>
    <row r="49" spans="1:34" x14ac:dyDescent="0.25">
      <c r="A49">
        <v>7.3</v>
      </c>
      <c r="B49">
        <v>2.5</v>
      </c>
      <c r="C49">
        <v>5</v>
      </c>
      <c r="D49">
        <v>1.9</v>
      </c>
      <c r="E49" s="5" t="s">
        <v>7</v>
      </c>
      <c r="L49" s="31"/>
      <c r="M49" s="31" t="s">
        <v>10</v>
      </c>
      <c r="N49" s="31">
        <v>1</v>
      </c>
      <c r="O49" s="31">
        <v>5</v>
      </c>
      <c r="P49" s="34"/>
      <c r="AE49" t="s">
        <v>10</v>
      </c>
      <c r="AF49">
        <v>0</v>
      </c>
      <c r="AG49">
        <f>40-AG48</f>
        <v>3</v>
      </c>
      <c r="AH49" s="25"/>
    </row>
    <row r="50" spans="1:34" x14ac:dyDescent="0.25">
      <c r="A50">
        <v>6.7</v>
      </c>
      <c r="B50">
        <v>3.2</v>
      </c>
      <c r="C50">
        <v>4.5</v>
      </c>
      <c r="D50">
        <v>1.5</v>
      </c>
      <c r="E50" t="s">
        <v>6</v>
      </c>
      <c r="L50" s="31">
        <v>7.65</v>
      </c>
      <c r="M50" s="31" t="s">
        <v>9</v>
      </c>
      <c r="N50" s="31">
        <f>COUNTIFS(A2:A81, "&lt;7.65", E2:E81,"Iris-versicolor")</f>
        <v>39</v>
      </c>
      <c r="O50" s="31">
        <f>COUNTIFS(A2:A81, "&lt;7.65", E2:E81,"Iris-virginica")</f>
        <v>36</v>
      </c>
      <c r="P50" s="34">
        <f t="shared" ref="P50" si="79">(1-POWER(N50/SUM(N50,O50),2)-POWER(O50/SUM(N50,O50),2))*SUM(N50,O50)/80 + (1-POWER(N51/SUM(N51,O51),2)-POWER(O51/SUM(N51,O51),2))*SUM(N51,O51)/80</f>
        <v>0.4880000000000001</v>
      </c>
      <c r="AD50">
        <v>6.05</v>
      </c>
      <c r="AE50" t="s">
        <v>9</v>
      </c>
      <c r="AF50">
        <f>COUNTIFS(C2:C81, "&lt;6.05", E2:E81,"Iris-versicolor")</f>
        <v>40</v>
      </c>
      <c r="AG50">
        <f>COUNTIFS(C2:C81, "&lt;6.05", E2:E81,"Iris-virginica")</f>
        <v>38</v>
      </c>
      <c r="AH50" s="25">
        <f t="shared" ref="AH50" si="80">(1-POWER(AF50/SUM(AF50,AG50),2)-POWER(AG50/SUM(AF50,AG50),2))*SUM(AF50,AG50)/80 + (1-POWER(AF51/SUM(AF51,AG51),2)-POWER(AG51/SUM(AF51,AG51),2))*SUM(AF51,AG51)/80</f>
        <v>0.48717948717948723</v>
      </c>
    </row>
    <row r="51" spans="1:34" x14ac:dyDescent="0.25">
      <c r="A51">
        <v>7.2</v>
      </c>
      <c r="B51">
        <v>2.9</v>
      </c>
      <c r="C51">
        <v>4.3</v>
      </c>
      <c r="D51">
        <v>1.3</v>
      </c>
      <c r="E51" t="s">
        <v>6</v>
      </c>
      <c r="L51" s="31"/>
      <c r="M51" s="31" t="s">
        <v>10</v>
      </c>
      <c r="N51" s="31">
        <v>1</v>
      </c>
      <c r="O51" s="31">
        <v>4</v>
      </c>
      <c r="P51" s="34"/>
      <c r="AE51" t="s">
        <v>10</v>
      </c>
      <c r="AF51">
        <v>0</v>
      </c>
      <c r="AG51">
        <f>40-AG50</f>
        <v>2</v>
      </c>
      <c r="AH51" s="25"/>
    </row>
    <row r="52" spans="1:34" x14ac:dyDescent="0.25">
      <c r="A52">
        <v>6.5</v>
      </c>
      <c r="B52">
        <v>2.7</v>
      </c>
      <c r="C52">
        <v>5.3</v>
      </c>
      <c r="D52">
        <v>1.9</v>
      </c>
      <c r="E52" s="5" t="s">
        <v>7</v>
      </c>
      <c r="L52" s="31">
        <v>7.8</v>
      </c>
      <c r="M52" s="31" t="s">
        <v>9</v>
      </c>
      <c r="N52" s="31">
        <f>COUNTIFS(A2:A81, "&lt;7.8", E2:E81,"Iris-versicolor")</f>
        <v>40</v>
      </c>
      <c r="O52" s="31">
        <f>COUNTIFS(A2:A81, "&lt;7.8", E2:E81,"Iris-virginica")</f>
        <v>39</v>
      </c>
      <c r="P52" s="34">
        <f t="shared" ref="P52" si="81">(1-POWER(N52/SUM(N52,O52),2)-POWER(O52/SUM(N52,O52),2))*SUM(N52,O52)/80 + (1-POWER(N53/SUM(N53,O53),2)-POWER(O53/SUM(N53,O53),2))*SUM(N53,O53)/80</f>
        <v>0.49367088607594933</v>
      </c>
      <c r="AD52">
        <v>6.25</v>
      </c>
      <c r="AE52" t="s">
        <v>9</v>
      </c>
      <c r="AF52">
        <f>COUNTIFS(C2:C81, "&lt;6.25", E2:E81,"Iris-versicolor")</f>
        <v>40</v>
      </c>
      <c r="AG52">
        <f>COUNTIFS(C2:C81, "&lt;6.25", E2:E81,"Iris-virginica")</f>
        <v>39</v>
      </c>
      <c r="AH52" s="25">
        <f t="shared" ref="AH52" si="82">(1-POWER(AF52/SUM(AF52,AG52),2)-POWER(AG52/SUM(AF52,AG52),2))*SUM(AF52,AG52)/80 + (1-POWER(AF53/SUM(AF53,AG53),2)-POWER(AG53/SUM(AF53,AG53),2))*SUM(AF53,AG53)/80</f>
        <v>0.49367088607594933</v>
      </c>
    </row>
    <row r="53" spans="1:34" x14ac:dyDescent="0.25">
      <c r="A53">
        <v>6.4</v>
      </c>
      <c r="B53">
        <v>3.2</v>
      </c>
      <c r="C53">
        <v>5.3</v>
      </c>
      <c r="D53">
        <v>2.2999999999999998</v>
      </c>
      <c r="E53" s="5" t="s">
        <v>7</v>
      </c>
      <c r="L53" s="31"/>
      <c r="M53" s="31" t="s">
        <v>10</v>
      </c>
      <c r="N53" s="31">
        <v>0</v>
      </c>
      <c r="O53" s="31">
        <v>1</v>
      </c>
      <c r="P53" s="34"/>
      <c r="AE53" t="s">
        <v>10</v>
      </c>
      <c r="AF53">
        <v>0</v>
      </c>
      <c r="AG53">
        <f>40-AG52</f>
        <v>1</v>
      </c>
      <c r="AH53" s="25"/>
    </row>
    <row r="54" spans="1:34" x14ac:dyDescent="0.25">
      <c r="A54">
        <v>6.8</v>
      </c>
      <c r="B54">
        <v>2.8</v>
      </c>
      <c r="C54">
        <v>5.6</v>
      </c>
      <c r="D54">
        <v>2.1</v>
      </c>
      <c r="E54" s="5" t="s">
        <v>7</v>
      </c>
    </row>
    <row r="55" spans="1:34" x14ac:dyDescent="0.25">
      <c r="A55">
        <v>5.7</v>
      </c>
      <c r="B55">
        <v>2.8</v>
      </c>
      <c r="C55">
        <v>5.6</v>
      </c>
      <c r="D55">
        <v>2.2000000000000002</v>
      </c>
      <c r="E55" s="5" t="s">
        <v>7</v>
      </c>
      <c r="L55" s="1" t="s">
        <v>21</v>
      </c>
      <c r="M55" s="1">
        <f>MIN(P2:P52)</f>
        <v>0.47794117647058831</v>
      </c>
      <c r="AE55" s="1" t="s">
        <v>21</v>
      </c>
      <c r="AF55" s="1">
        <f>MIN(AH2:AH52)</f>
        <v>0.15428571428571425</v>
      </c>
    </row>
    <row r="56" spans="1:34" x14ac:dyDescent="0.25">
      <c r="A56">
        <v>5.8</v>
      </c>
      <c r="B56">
        <v>3.1</v>
      </c>
      <c r="C56">
        <v>5.5</v>
      </c>
      <c r="D56">
        <v>1.8</v>
      </c>
      <c r="E56" s="5" t="s">
        <v>7</v>
      </c>
    </row>
    <row r="57" spans="1:34" x14ac:dyDescent="0.25">
      <c r="A57">
        <v>6.4</v>
      </c>
      <c r="B57">
        <v>2.8</v>
      </c>
      <c r="C57">
        <v>4.5999999999999996</v>
      </c>
      <c r="D57">
        <v>1.5</v>
      </c>
      <c r="E57" t="s">
        <v>6</v>
      </c>
    </row>
    <row r="58" spans="1:34" x14ac:dyDescent="0.25">
      <c r="A58">
        <v>6.5</v>
      </c>
      <c r="B58">
        <v>3</v>
      </c>
      <c r="C58">
        <v>5.8</v>
      </c>
      <c r="D58">
        <v>2.2000000000000002</v>
      </c>
      <c r="E58" s="5" t="s">
        <v>7</v>
      </c>
    </row>
    <row r="59" spans="1:34" x14ac:dyDescent="0.25">
      <c r="A59">
        <v>7.7</v>
      </c>
      <c r="B59">
        <v>3.2</v>
      </c>
      <c r="C59">
        <v>5.0999999999999996</v>
      </c>
      <c r="D59">
        <v>2</v>
      </c>
      <c r="E59" s="5" t="s">
        <v>7</v>
      </c>
    </row>
    <row r="60" spans="1:34" x14ac:dyDescent="0.25">
      <c r="A60">
        <v>7.7</v>
      </c>
      <c r="B60">
        <v>3</v>
      </c>
      <c r="C60">
        <v>5.5</v>
      </c>
      <c r="D60">
        <v>1.8</v>
      </c>
      <c r="E60" s="5" t="s">
        <v>7</v>
      </c>
    </row>
    <row r="61" spans="1:34" x14ac:dyDescent="0.25">
      <c r="A61">
        <v>6</v>
      </c>
      <c r="B61">
        <v>3</v>
      </c>
      <c r="C61">
        <v>5.2</v>
      </c>
      <c r="D61">
        <v>2</v>
      </c>
      <c r="E61" s="5" t="s">
        <v>7</v>
      </c>
    </row>
    <row r="62" spans="1:34" x14ac:dyDescent="0.25">
      <c r="A62">
        <v>6.9</v>
      </c>
      <c r="B62">
        <v>2.9</v>
      </c>
      <c r="C62">
        <v>4.5999999999999996</v>
      </c>
      <c r="D62">
        <v>1.3</v>
      </c>
      <c r="E62" t="s">
        <v>6</v>
      </c>
    </row>
    <row r="63" spans="1:34" x14ac:dyDescent="0.25">
      <c r="A63">
        <v>5.6</v>
      </c>
      <c r="B63">
        <v>3</v>
      </c>
      <c r="C63">
        <v>4.4000000000000004</v>
      </c>
      <c r="D63">
        <v>1.4</v>
      </c>
      <c r="E63" t="s">
        <v>6</v>
      </c>
    </row>
    <row r="64" spans="1:34" x14ac:dyDescent="0.25">
      <c r="A64">
        <v>7.7</v>
      </c>
      <c r="B64">
        <v>3.1</v>
      </c>
      <c r="C64">
        <v>4.4000000000000004</v>
      </c>
      <c r="D64">
        <v>1.4</v>
      </c>
      <c r="E64" t="s">
        <v>6</v>
      </c>
    </row>
    <row r="65" spans="1:5" x14ac:dyDescent="0.25">
      <c r="A65">
        <v>6.3</v>
      </c>
      <c r="B65">
        <v>3</v>
      </c>
      <c r="C65">
        <v>5</v>
      </c>
      <c r="D65">
        <v>1.7</v>
      </c>
      <c r="E65" t="s">
        <v>6</v>
      </c>
    </row>
    <row r="66" spans="1:5" x14ac:dyDescent="0.25">
      <c r="A66">
        <v>6.7</v>
      </c>
      <c r="B66">
        <v>3.1</v>
      </c>
      <c r="C66">
        <v>4.7</v>
      </c>
      <c r="D66">
        <v>1.5</v>
      </c>
      <c r="E66" t="s">
        <v>6</v>
      </c>
    </row>
    <row r="67" spans="1:5" x14ac:dyDescent="0.25">
      <c r="A67">
        <v>7.2</v>
      </c>
      <c r="B67">
        <v>2.5</v>
      </c>
      <c r="C67">
        <v>5.8</v>
      </c>
      <c r="D67">
        <v>1.8</v>
      </c>
      <c r="E67" s="5" t="s">
        <v>7</v>
      </c>
    </row>
    <row r="68" spans="1:5" x14ac:dyDescent="0.25">
      <c r="A68">
        <v>6.2</v>
      </c>
      <c r="B68">
        <v>3.3</v>
      </c>
      <c r="C68">
        <v>5.7</v>
      </c>
      <c r="D68">
        <v>2.1</v>
      </c>
      <c r="E68" s="5" t="s">
        <v>7</v>
      </c>
    </row>
    <row r="69" spans="1:5" x14ac:dyDescent="0.25">
      <c r="A69">
        <v>6.1</v>
      </c>
      <c r="B69">
        <v>3.1</v>
      </c>
      <c r="C69">
        <v>5.6</v>
      </c>
      <c r="D69">
        <v>2.4</v>
      </c>
      <c r="E69" s="5" t="s">
        <v>7</v>
      </c>
    </row>
    <row r="70" spans="1:5" x14ac:dyDescent="0.25">
      <c r="A70">
        <v>6.4</v>
      </c>
      <c r="B70">
        <v>3.3</v>
      </c>
      <c r="C70">
        <v>5.7</v>
      </c>
      <c r="D70">
        <v>2.5</v>
      </c>
      <c r="E70" s="5" t="s">
        <v>7</v>
      </c>
    </row>
    <row r="71" spans="1:5" x14ac:dyDescent="0.25">
      <c r="A71">
        <v>7.2</v>
      </c>
      <c r="B71">
        <v>3</v>
      </c>
      <c r="C71">
        <v>5.2</v>
      </c>
      <c r="D71">
        <v>2.2999999999999998</v>
      </c>
      <c r="E71" s="5" t="s">
        <v>7</v>
      </c>
    </row>
    <row r="72" spans="1:5" x14ac:dyDescent="0.25">
      <c r="A72">
        <v>7.4</v>
      </c>
      <c r="B72">
        <v>2.8</v>
      </c>
      <c r="C72">
        <v>4.8</v>
      </c>
      <c r="D72">
        <v>1.4</v>
      </c>
      <c r="E72" s="3" t="s">
        <v>6</v>
      </c>
    </row>
    <row r="73" spans="1:5" x14ac:dyDescent="0.25">
      <c r="A73">
        <v>7.9</v>
      </c>
      <c r="B73">
        <v>3</v>
      </c>
      <c r="C73">
        <v>5.5</v>
      </c>
      <c r="D73">
        <v>2.1</v>
      </c>
      <c r="E73" s="5" t="s">
        <v>7</v>
      </c>
    </row>
    <row r="74" spans="1:5" x14ac:dyDescent="0.25">
      <c r="A74">
        <v>6.4</v>
      </c>
      <c r="B74">
        <v>3.2</v>
      </c>
      <c r="C74">
        <v>5.9</v>
      </c>
      <c r="D74">
        <v>2.2999999999999998</v>
      </c>
      <c r="E74" s="5" t="s">
        <v>7</v>
      </c>
    </row>
    <row r="75" spans="1:5" x14ac:dyDescent="0.25">
      <c r="A75">
        <v>6.3</v>
      </c>
      <c r="B75">
        <v>3.1</v>
      </c>
      <c r="C75">
        <v>4.9000000000000004</v>
      </c>
      <c r="D75">
        <v>1.5</v>
      </c>
      <c r="E75" s="3" t="s">
        <v>6</v>
      </c>
    </row>
    <row r="76" spans="1:5" x14ac:dyDescent="0.25">
      <c r="A76">
        <v>6.1</v>
      </c>
      <c r="B76">
        <v>3.2</v>
      </c>
      <c r="C76">
        <v>5.7</v>
      </c>
      <c r="D76">
        <v>2.2999999999999998</v>
      </c>
      <c r="E76" s="5" t="s">
        <v>7</v>
      </c>
    </row>
    <row r="77" spans="1:5" x14ac:dyDescent="0.25">
      <c r="A77">
        <v>7.7</v>
      </c>
      <c r="B77">
        <v>3.1</v>
      </c>
      <c r="C77">
        <v>5.4</v>
      </c>
      <c r="D77">
        <v>2.1</v>
      </c>
      <c r="E77" s="5" t="s">
        <v>7</v>
      </c>
    </row>
    <row r="78" spans="1:5" x14ac:dyDescent="0.25">
      <c r="A78">
        <v>6.3</v>
      </c>
      <c r="B78">
        <v>3.1</v>
      </c>
      <c r="C78">
        <v>5.0999999999999996</v>
      </c>
      <c r="D78">
        <v>2.2999999999999998</v>
      </c>
      <c r="E78" s="5" t="s">
        <v>7</v>
      </c>
    </row>
    <row r="79" spans="1:5" x14ac:dyDescent="0.25">
      <c r="A79">
        <v>6.4</v>
      </c>
      <c r="B79">
        <v>3.2</v>
      </c>
      <c r="C79">
        <v>4.7</v>
      </c>
      <c r="D79">
        <v>1.4</v>
      </c>
      <c r="E79" s="3" t="s">
        <v>6</v>
      </c>
    </row>
    <row r="80" spans="1:5" x14ac:dyDescent="0.25">
      <c r="A80">
        <v>6.2</v>
      </c>
      <c r="B80">
        <v>3</v>
      </c>
      <c r="C80">
        <v>6.1</v>
      </c>
      <c r="D80">
        <v>2.2999999999999998</v>
      </c>
      <c r="E80" s="5" t="s">
        <v>7</v>
      </c>
    </row>
    <row r="81" spans="1:5" x14ac:dyDescent="0.25">
      <c r="A81">
        <v>5.9</v>
      </c>
      <c r="B81">
        <v>3.8</v>
      </c>
      <c r="C81">
        <v>6.4</v>
      </c>
      <c r="D81">
        <v>2</v>
      </c>
      <c r="E81" s="5" t="s">
        <v>7</v>
      </c>
    </row>
  </sheetData>
  <sortState ref="AJ2:AJ81">
    <sortCondition ref="AJ1"/>
  </sortState>
  <mergeCells count="81">
    <mergeCell ref="P12:P13"/>
    <mergeCell ref="P2:P3"/>
    <mergeCell ref="P4:P5"/>
    <mergeCell ref="P6:P7"/>
    <mergeCell ref="P8:P9"/>
    <mergeCell ref="P10:P11"/>
    <mergeCell ref="P36:P37"/>
    <mergeCell ref="P14:P15"/>
    <mergeCell ref="P16:P17"/>
    <mergeCell ref="P18:P19"/>
    <mergeCell ref="P20:P21"/>
    <mergeCell ref="P22:P23"/>
    <mergeCell ref="P24:P25"/>
    <mergeCell ref="P26:P27"/>
    <mergeCell ref="P28:P29"/>
    <mergeCell ref="P30:P31"/>
    <mergeCell ref="P32:P33"/>
    <mergeCell ref="P34:P35"/>
    <mergeCell ref="P50:P51"/>
    <mergeCell ref="P52:P53"/>
    <mergeCell ref="Y2:Y3"/>
    <mergeCell ref="Y4:Y5"/>
    <mergeCell ref="Y6:Y7"/>
    <mergeCell ref="Y8:Y9"/>
    <mergeCell ref="Y10:Y11"/>
    <mergeCell ref="Y12:Y13"/>
    <mergeCell ref="Y14:Y15"/>
    <mergeCell ref="Y16:Y17"/>
    <mergeCell ref="P38:P39"/>
    <mergeCell ref="P40:P41"/>
    <mergeCell ref="P42:P43"/>
    <mergeCell ref="P44:P45"/>
    <mergeCell ref="P46:P47"/>
    <mergeCell ref="P48:P49"/>
    <mergeCell ref="Y24:Y25"/>
    <mergeCell ref="Y26:Y27"/>
    <mergeCell ref="AH2:AH3"/>
    <mergeCell ref="AH4:AH5"/>
    <mergeCell ref="AH6:AH7"/>
    <mergeCell ref="AH8:AH9"/>
    <mergeCell ref="AH10:AH11"/>
    <mergeCell ref="AH32:AH33"/>
    <mergeCell ref="AH34:AH35"/>
    <mergeCell ref="AH12:AH13"/>
    <mergeCell ref="AH14:AH15"/>
    <mergeCell ref="AH16:AH17"/>
    <mergeCell ref="AH18:AH19"/>
    <mergeCell ref="AH20:AH21"/>
    <mergeCell ref="AH22:AH23"/>
    <mergeCell ref="AH48:AH49"/>
    <mergeCell ref="AH50:AH51"/>
    <mergeCell ref="AH52:AH53"/>
    <mergeCell ref="AQ2:AQ3"/>
    <mergeCell ref="AQ4:AQ5"/>
    <mergeCell ref="AQ6:AQ7"/>
    <mergeCell ref="AQ8:AQ9"/>
    <mergeCell ref="AQ10:AQ11"/>
    <mergeCell ref="AQ12:AQ13"/>
    <mergeCell ref="AQ14:AQ15"/>
    <mergeCell ref="AH36:AH37"/>
    <mergeCell ref="AH38:AH39"/>
    <mergeCell ref="AH40:AH41"/>
    <mergeCell ref="AH42:AH43"/>
    <mergeCell ref="AH44:AH45"/>
    <mergeCell ref="AH46:AH47"/>
    <mergeCell ref="AQ28:AQ29"/>
    <mergeCell ref="AQ30:AQ31"/>
    <mergeCell ref="Y28:Y29"/>
    <mergeCell ref="AQ16:AQ17"/>
    <mergeCell ref="AQ18:AQ19"/>
    <mergeCell ref="AQ20:AQ21"/>
    <mergeCell ref="AQ22:AQ23"/>
    <mergeCell ref="AQ24:AQ25"/>
    <mergeCell ref="AQ26:AQ27"/>
    <mergeCell ref="AH24:AH25"/>
    <mergeCell ref="AH26:AH27"/>
    <mergeCell ref="AH28:AH29"/>
    <mergeCell ref="AH30:AH31"/>
    <mergeCell ref="Y18:Y19"/>
    <mergeCell ref="Y20:Y21"/>
    <mergeCell ref="Y22:Y2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7"/>
  <sheetViews>
    <sheetView topLeftCell="A22" zoomScale="86" zoomScaleNormal="86" workbookViewId="0">
      <selection activeCell="L1" sqref="L1:P45"/>
    </sheetView>
  </sheetViews>
  <sheetFormatPr defaultRowHeight="15" x14ac:dyDescent="0.25"/>
  <cols>
    <col min="5" max="5" width="9.140625" style="3"/>
    <col min="8" max="8" width="9.140625" style="1"/>
    <col min="16" max="16" width="9.140625" style="2"/>
    <col min="17" max="17" width="9.140625" style="1"/>
    <col min="25" max="25" width="9.140625" style="2"/>
  </cols>
  <sheetData>
    <row r="1" spans="1:25" x14ac:dyDescent="0.25">
      <c r="A1" t="s">
        <v>0</v>
      </c>
      <c r="B1" t="s">
        <v>1</v>
      </c>
      <c r="C1" t="s">
        <v>2</v>
      </c>
      <c r="D1" t="s">
        <v>3</v>
      </c>
      <c r="E1" s="3" t="s">
        <v>4</v>
      </c>
      <c r="I1" t="s">
        <v>0</v>
      </c>
      <c r="J1" t="s">
        <v>25</v>
      </c>
      <c r="L1" s="31"/>
      <c r="M1" s="31"/>
      <c r="N1" s="31" t="s">
        <v>16</v>
      </c>
      <c r="O1" s="31" t="s">
        <v>15</v>
      </c>
      <c r="P1" s="33" t="s">
        <v>24</v>
      </c>
      <c r="R1" t="s">
        <v>1</v>
      </c>
      <c r="S1" t="s">
        <v>25</v>
      </c>
      <c r="W1" t="s">
        <v>16</v>
      </c>
      <c r="X1" t="s">
        <v>15</v>
      </c>
      <c r="Y1" s="2" t="s">
        <v>24</v>
      </c>
    </row>
    <row r="2" spans="1:25" x14ac:dyDescent="0.25">
      <c r="A2">
        <v>5.4</v>
      </c>
      <c r="B2">
        <v>2.4</v>
      </c>
      <c r="C2">
        <v>3.3</v>
      </c>
      <c r="D2">
        <v>1</v>
      </c>
      <c r="E2" s="3" t="s">
        <v>6</v>
      </c>
      <c r="I2">
        <v>4.8</v>
      </c>
      <c r="J2">
        <f>AVERAGE(I2,I3)</f>
        <v>4.9000000000000004</v>
      </c>
      <c r="L2" s="31">
        <v>4.9000000000000004</v>
      </c>
      <c r="M2" s="31" t="s">
        <v>9</v>
      </c>
      <c r="N2" s="31">
        <f>COUNTIFS(A2:A44, "&lt;4.9", E2:E44,"Iris-versicolor")</f>
        <v>1</v>
      </c>
      <c r="O2" s="31">
        <f>COUNTIFS(A2:A44, "&lt;4.9", E2:E44,"Iris-virginica")</f>
        <v>0</v>
      </c>
      <c r="P2" s="34">
        <f>(1-POWER(N2/SUM(N2,O2),2)-POWER(O2/SUM(N2,O2),2))*SUM(N2,O2)/43 + (1-POWER(N3/SUM(N3,O3),2)-POWER(O3/SUM(N3,O3),2))*SUM(N3,O3)/43</f>
        <v>0.16832779623477293</v>
      </c>
      <c r="R2">
        <v>2</v>
      </c>
      <c r="S2">
        <f>AVERAGE(R2,R3)</f>
        <v>2.1</v>
      </c>
      <c r="U2">
        <v>2.1</v>
      </c>
      <c r="V2" t="s">
        <v>9</v>
      </c>
      <c r="W2">
        <f>COUNTIFS(B2:B44, "&lt;2.1", E2:E44,"Iris-versicolor")</f>
        <v>1</v>
      </c>
      <c r="X2">
        <f>COUNTIFS(B2:B44, "&lt;2.1", E2:E44,"Iris-virginica")</f>
        <v>0</v>
      </c>
      <c r="Y2" s="25">
        <f>(1-POWER(W2/SUM(W2,X2),2)-POWER(X2/SUM(W2,X2),2))*SUM(W2,X2)/43 + (1-POWER(W3/SUM(W3,X3),2)-POWER(X3/SUM(W3,X3),2))*SUM(W3,X3)/43</f>
        <v>0.16832779623477293</v>
      </c>
    </row>
    <row r="3" spans="1:25" x14ac:dyDescent="0.25">
      <c r="A3">
        <v>5.0999999999999996</v>
      </c>
      <c r="B3">
        <v>2.5</v>
      </c>
      <c r="C3">
        <v>4.5</v>
      </c>
      <c r="D3">
        <v>1.7</v>
      </c>
      <c r="E3" s="3" t="s">
        <v>7</v>
      </c>
      <c r="F3" s="3"/>
      <c r="I3">
        <v>5</v>
      </c>
      <c r="J3">
        <f t="shared" ref="J3:J23" si="0">AVERAGE(I3,I4)</f>
        <v>5.05</v>
      </c>
      <c r="L3" s="31"/>
      <c r="M3" s="31" t="s">
        <v>10</v>
      </c>
      <c r="N3" s="31">
        <f>COUNTIFS(A2:A44, "&gt;=4.9", E2:E44,"Iris-versicolor")</f>
        <v>38</v>
      </c>
      <c r="O3" s="31">
        <v>4</v>
      </c>
      <c r="P3" s="34"/>
      <c r="R3">
        <v>2.2000000000000002</v>
      </c>
      <c r="S3">
        <f t="shared" ref="S3:S14" si="1">AVERAGE(R3,R4)</f>
        <v>2.25</v>
      </c>
      <c r="V3" t="s">
        <v>10</v>
      </c>
      <c r="W3">
        <v>38</v>
      </c>
      <c r="X3">
        <v>4</v>
      </c>
      <c r="Y3" s="25"/>
    </row>
    <row r="4" spans="1:25" x14ac:dyDescent="0.25">
      <c r="A4">
        <v>4.8</v>
      </c>
      <c r="B4">
        <v>2</v>
      </c>
      <c r="C4">
        <v>3.5</v>
      </c>
      <c r="D4">
        <v>1</v>
      </c>
      <c r="E4" s="3" t="s">
        <v>6</v>
      </c>
      <c r="I4">
        <v>5.0999999999999996</v>
      </c>
      <c r="J4">
        <f t="shared" si="0"/>
        <v>5.0999999999999996</v>
      </c>
      <c r="L4" s="31">
        <v>5.05</v>
      </c>
      <c r="M4" s="31" t="s">
        <v>9</v>
      </c>
      <c r="N4" s="31">
        <f>COUNTIFS(A2:A44, "&lt;5.05", E2:E44,"Iris-versicolor")</f>
        <v>2</v>
      </c>
      <c r="O4" s="31">
        <f>COUNTIFS(A2:A44, "&lt;5.05", E2:E44,"Iris-virginica")</f>
        <v>0</v>
      </c>
      <c r="P4" s="34">
        <f t="shared" ref="P4" si="2">(1-POWER(N4/SUM(N4,O4),2)-POWER(O4/SUM(N4,O4),2))*SUM(N4,O4)/43 + (1-POWER(N5/SUM(N5,O5),2)-POWER(O5/SUM(N5,O5),2))*SUM(N5,O5)/43</f>
        <v>0.16789563244469649</v>
      </c>
      <c r="R4">
        <v>2.2999999999999998</v>
      </c>
      <c r="S4">
        <f t="shared" si="1"/>
        <v>2.3499999999999996</v>
      </c>
      <c r="U4">
        <v>2.25</v>
      </c>
      <c r="V4" t="s">
        <v>9</v>
      </c>
      <c r="W4">
        <f>COUNTIFS(B2:B44, "&lt;2.25", E2:E44,"Iris-versicolor")</f>
        <v>3</v>
      </c>
      <c r="X4">
        <f>COUNTIFS(B2:B44, "&lt;2.25", E2:E44,"Iris-virginica")</f>
        <v>1</v>
      </c>
      <c r="Y4" s="25">
        <f t="shared" ref="Y4" si="3">(1-POWER(W4/SUM(W4,X4),2)-POWER(X4/SUM(W4,X4),2))*SUM(W4,X4)/43 + (1-POWER(W5/SUM(W5,X5),2)-POWER(X5/SUM(W5,X5),2))*SUM(W5,X5)/43</f>
        <v>0.16368515205724496</v>
      </c>
    </row>
    <row r="5" spans="1:25" x14ac:dyDescent="0.25">
      <c r="A5">
        <v>5.4</v>
      </c>
      <c r="B5">
        <v>2.2999999999999998</v>
      </c>
      <c r="C5">
        <v>3.3</v>
      </c>
      <c r="D5">
        <v>1</v>
      </c>
      <c r="E5" s="3" t="s">
        <v>6</v>
      </c>
      <c r="I5">
        <v>5.0999999999999996</v>
      </c>
      <c r="J5">
        <f t="shared" si="0"/>
        <v>5.25</v>
      </c>
      <c r="L5" s="31"/>
      <c r="M5" s="31" t="s">
        <v>10</v>
      </c>
      <c r="N5" s="31">
        <v>37</v>
      </c>
      <c r="O5" s="31">
        <v>4</v>
      </c>
      <c r="P5" s="34"/>
      <c r="R5">
        <v>2.4</v>
      </c>
      <c r="S5">
        <f t="shared" si="1"/>
        <v>2.4500000000000002</v>
      </c>
      <c r="V5" t="s">
        <v>10</v>
      </c>
      <c r="W5">
        <v>36</v>
      </c>
      <c r="X5">
        <v>3</v>
      </c>
      <c r="Y5" s="25"/>
    </row>
    <row r="6" spans="1:25" x14ac:dyDescent="0.25">
      <c r="A6">
        <v>5</v>
      </c>
      <c r="B6">
        <v>2.5</v>
      </c>
      <c r="C6">
        <v>3</v>
      </c>
      <c r="D6">
        <v>1.1000000000000001</v>
      </c>
      <c r="E6" s="3" t="s">
        <v>6</v>
      </c>
      <c r="I6">
        <v>5.4</v>
      </c>
      <c r="J6">
        <f t="shared" si="0"/>
        <v>5.45</v>
      </c>
      <c r="L6" s="31">
        <v>5.0999999999999996</v>
      </c>
      <c r="M6" s="31" t="s">
        <v>9</v>
      </c>
      <c r="N6" s="31">
        <f>COUNTIFS(A2:A44, "&lt;5.1", E2:E44,"Iris-versicolor")</f>
        <v>2</v>
      </c>
      <c r="O6" s="31">
        <f>COUNTIFS(A2:A44, "&lt;5.1", E2:E44,"Iris-virginica")</f>
        <v>0</v>
      </c>
      <c r="P6" s="34">
        <f t="shared" ref="P6" si="4">(1-POWER(N6/SUM(N6,O6),2)-POWER(O6/SUM(N6,O6),2))*SUM(N6,O6)/43 + (1-POWER(N7/SUM(N7,O7),2)-POWER(O7/SUM(N7,O7),2))*SUM(N7,O7)/43</f>
        <v>0.16789563244469649</v>
      </c>
      <c r="R6">
        <v>2.5</v>
      </c>
      <c r="S6">
        <f t="shared" si="1"/>
        <v>2.5499999999999998</v>
      </c>
      <c r="U6">
        <v>2.35</v>
      </c>
      <c r="V6" t="s">
        <v>9</v>
      </c>
      <c r="W6">
        <f>COUNTIFS(B2:B44, "&lt;2.35", E2:E44,"Iris-versicolor")</f>
        <v>5</v>
      </c>
      <c r="X6">
        <f>COUNTIFS(B2:B44, "&lt;2.35", E2:E44,"Iris-virginica")</f>
        <v>1</v>
      </c>
      <c r="Y6" s="25">
        <f t="shared" ref="Y6" si="5">(1-POWER(W6/SUM(W6,X6),2)-POWER(X6/SUM(W6,X6),2))*SUM(W6,X6)/43 + (1-POWER(W7/SUM(W7,X7),2)-POWER(X7/SUM(W7,X7),2))*SUM(W7,X7)/43</f>
        <v>0.1669809344227948</v>
      </c>
    </row>
    <row r="7" spans="1:25" x14ac:dyDescent="0.25">
      <c r="A7">
        <v>5.0999999999999996</v>
      </c>
      <c r="B7">
        <v>2.7</v>
      </c>
      <c r="C7">
        <v>3.9</v>
      </c>
      <c r="D7">
        <v>1.4</v>
      </c>
      <c r="E7" s="3" t="s">
        <v>6</v>
      </c>
      <c r="I7">
        <v>5.5</v>
      </c>
      <c r="J7">
        <f t="shared" si="0"/>
        <v>5.55</v>
      </c>
      <c r="L7" s="31"/>
      <c r="M7" s="31" t="s">
        <v>10</v>
      </c>
      <c r="N7" s="31">
        <v>37</v>
      </c>
      <c r="O7" s="31">
        <v>4</v>
      </c>
      <c r="P7" s="34"/>
      <c r="R7">
        <v>2.6</v>
      </c>
      <c r="S7">
        <f t="shared" si="1"/>
        <v>2.6500000000000004</v>
      </c>
      <c r="V7" t="s">
        <v>10</v>
      </c>
      <c r="W7">
        <v>34</v>
      </c>
      <c r="X7">
        <v>3</v>
      </c>
      <c r="Y7" s="25"/>
    </row>
    <row r="8" spans="1:25" x14ac:dyDescent="0.25">
      <c r="A8">
        <v>6.4</v>
      </c>
      <c r="B8">
        <v>3</v>
      </c>
      <c r="C8">
        <v>4.5</v>
      </c>
      <c r="D8">
        <v>1.5</v>
      </c>
      <c r="E8" s="3" t="s">
        <v>6</v>
      </c>
      <c r="I8">
        <v>5.6</v>
      </c>
      <c r="J8">
        <f t="shared" si="0"/>
        <v>5.65</v>
      </c>
      <c r="L8" s="31">
        <v>5.25</v>
      </c>
      <c r="M8" s="31" t="s">
        <v>9</v>
      </c>
      <c r="N8" s="31">
        <f>COUNTIFS(A2:A44, "&lt;5.25", E2:E44,"Iris-versicolor")</f>
        <v>3</v>
      </c>
      <c r="O8" s="31">
        <f>COUNTIFS(A2:A44, "&lt;5.25", E2:E44,"Iris-virginica")</f>
        <v>1</v>
      </c>
      <c r="P8" s="34">
        <f t="shared" ref="P8" si="6">(1-POWER(N8/SUM(N8,O8),2)-POWER(O8/SUM(N8,O8),2))*SUM(N8,O8)/43 + (1-POWER(N9/SUM(N9,O9),2)-POWER(O9/SUM(N9,O9),2))*SUM(N9,O9)/43</f>
        <v>0.16368515205724496</v>
      </c>
      <c r="R8">
        <v>2.7</v>
      </c>
      <c r="S8">
        <f t="shared" si="1"/>
        <v>2.75</v>
      </c>
      <c r="U8">
        <v>2.4500000000000002</v>
      </c>
      <c r="V8" t="s">
        <v>9</v>
      </c>
      <c r="W8">
        <f>COUNTIFS(B2:B44, "&lt;2.45", E2:E44,"Iris-versicolor")</f>
        <v>6</v>
      </c>
      <c r="X8">
        <f>COUNTIFS(B2:B44, "&lt;2.45", E2:E44,"Iris-virginica")</f>
        <v>1</v>
      </c>
      <c r="Y8" s="25">
        <f t="shared" ref="Y8" si="7">(1-POWER(W8/SUM(W8,X8),2)-POWER(X8/SUM(W8,X8),2))*SUM(W8,X8)/43 + (1-POWER(W9/SUM(W9,X9),2)-POWER(X9/SUM(W9,X9),2))*SUM(W9,X9)/43</f>
        <v>0.16777408637873764</v>
      </c>
    </row>
    <row r="9" spans="1:25" x14ac:dyDescent="0.25">
      <c r="A9">
        <v>5.8</v>
      </c>
      <c r="B9">
        <v>2.8</v>
      </c>
      <c r="C9">
        <v>4.5</v>
      </c>
      <c r="D9">
        <v>1.3</v>
      </c>
      <c r="E9" s="3" t="s">
        <v>6</v>
      </c>
      <c r="I9">
        <v>5.7</v>
      </c>
      <c r="J9">
        <f t="shared" si="0"/>
        <v>5.75</v>
      </c>
      <c r="L9" s="31"/>
      <c r="M9" s="31" t="s">
        <v>10</v>
      </c>
      <c r="N9" s="31">
        <v>36</v>
      </c>
      <c r="O9" s="31">
        <v>3</v>
      </c>
      <c r="P9" s="34"/>
      <c r="R9">
        <v>2.8</v>
      </c>
      <c r="S9">
        <f t="shared" si="1"/>
        <v>2.8499999999999996</v>
      </c>
      <c r="V9" t="s">
        <v>10</v>
      </c>
      <c r="W9">
        <v>33</v>
      </c>
      <c r="X9">
        <v>3</v>
      </c>
      <c r="Y9" s="25"/>
    </row>
    <row r="10" spans="1:25" x14ac:dyDescent="0.25">
      <c r="A10">
        <v>6.2</v>
      </c>
      <c r="B10">
        <v>2.6</v>
      </c>
      <c r="C10">
        <v>3.5</v>
      </c>
      <c r="D10">
        <v>1</v>
      </c>
      <c r="E10" s="3" t="s">
        <v>6</v>
      </c>
      <c r="I10">
        <v>5.8</v>
      </c>
      <c r="J10">
        <f t="shared" si="0"/>
        <v>5.85</v>
      </c>
      <c r="L10" s="31">
        <v>5.45</v>
      </c>
      <c r="M10" s="31" t="s">
        <v>9</v>
      </c>
      <c r="N10" s="31">
        <f>COUNTIFS(A2:A44, "&lt;5.45", E2:E44,"Iris-versicolor")</f>
        <v>6</v>
      </c>
      <c r="O10" s="31">
        <f>COUNTIFS(A2:A44, "&lt;5.45", E2:E44,"Iris-virginica")</f>
        <v>1</v>
      </c>
      <c r="P10" s="34">
        <f t="shared" ref="P10" si="8">(1-POWER(N10/SUM(N10,O10),2)-POWER(O10/SUM(N10,O10),2))*SUM(N10,O10)/43 + (1-POWER(N11/SUM(N11,O11),2)-POWER(O11/SUM(N11,O11),2))*SUM(N11,O11)/43</f>
        <v>0.16777408637873764</v>
      </c>
      <c r="R10">
        <v>2.9</v>
      </c>
      <c r="S10">
        <f t="shared" si="1"/>
        <v>2.95</v>
      </c>
      <c r="U10">
        <v>2.5499999999999998</v>
      </c>
      <c r="V10" t="s">
        <v>9</v>
      </c>
      <c r="W10">
        <f>COUNTIFS(B2:B44, "&lt;2.55", E2:E44,"Iris-versicolor")</f>
        <v>8</v>
      </c>
      <c r="X10">
        <f>COUNTIFS(B2:B44, "&lt;2.55", E2:E44,"Iris-virginica")</f>
        <v>2</v>
      </c>
      <c r="Y10" s="25">
        <f t="shared" ref="Y10" si="9">(1-POWER(W10/SUM(W10,X10),2)-POWER(X10/SUM(W10,X10),2))*SUM(W10,X10)/43 + (1-POWER(W11/SUM(W11,X11),2)-POWER(X11/SUM(W11,X11),2))*SUM(W11,X11)/43</f>
        <v>0.16180408738548263</v>
      </c>
    </row>
    <row r="11" spans="1:25" x14ac:dyDescent="0.25">
      <c r="A11">
        <v>5.6</v>
      </c>
      <c r="B11">
        <v>3</v>
      </c>
      <c r="C11">
        <v>4.2</v>
      </c>
      <c r="D11">
        <v>1.2</v>
      </c>
      <c r="E11" s="3" t="s">
        <v>6</v>
      </c>
      <c r="I11">
        <v>5.9</v>
      </c>
      <c r="J11">
        <f t="shared" si="0"/>
        <v>5.95</v>
      </c>
      <c r="L11" s="31"/>
      <c r="M11" s="31" t="s">
        <v>10</v>
      </c>
      <c r="N11" s="31">
        <v>33</v>
      </c>
      <c r="O11" s="31">
        <v>3</v>
      </c>
      <c r="P11" s="34"/>
      <c r="R11">
        <v>3</v>
      </c>
      <c r="S11">
        <f t="shared" si="1"/>
        <v>3.05</v>
      </c>
      <c r="V11" t="s">
        <v>10</v>
      </c>
      <c r="W11">
        <v>31</v>
      </c>
      <c r="X11">
        <v>2</v>
      </c>
      <c r="Y11" s="25"/>
    </row>
    <row r="12" spans="1:25" x14ac:dyDescent="0.25">
      <c r="A12">
        <v>5.9</v>
      </c>
      <c r="B12">
        <v>2.9</v>
      </c>
      <c r="C12">
        <v>4.2</v>
      </c>
      <c r="D12">
        <v>1.3</v>
      </c>
      <c r="E12" s="3" t="s">
        <v>6</v>
      </c>
      <c r="I12">
        <v>6</v>
      </c>
      <c r="J12">
        <f t="shared" si="0"/>
        <v>6.05</v>
      </c>
      <c r="L12" s="31">
        <v>5.55</v>
      </c>
      <c r="M12" s="31" t="s">
        <v>9</v>
      </c>
      <c r="N12" s="31">
        <f>COUNTIFS(A2:A44, "&lt;5.55", E2:E44,"Iris-versicolor")</f>
        <v>9</v>
      </c>
      <c r="O12" s="31">
        <f>COUNTIFS(A2:A44, "&lt;5.55", E2:E44,"Iris-virginica")</f>
        <v>1</v>
      </c>
      <c r="P12" s="34">
        <f t="shared" ref="P12" si="10">(1-POWER(N12/SUM(N12,O12),2)-POWER(O12/SUM(N12,O12),2))*SUM(N12,O12)/43 + (1-POWER(N13/SUM(N13,O13),2)-POWER(O13/SUM(N13,O13),2))*SUM(N13,O13)/43</f>
        <v>0.16871035940803389</v>
      </c>
      <c r="R12">
        <v>3.1</v>
      </c>
      <c r="S12">
        <f t="shared" si="1"/>
        <v>3.1500000000000004</v>
      </c>
      <c r="U12" s="5">
        <v>2.65</v>
      </c>
      <c r="V12" s="5" t="s">
        <v>9</v>
      </c>
      <c r="W12" s="5">
        <f>COUNTIFS(B2:B44, "&lt;2.65", E2:E44,"Iris-versicolor")</f>
        <v>10</v>
      </c>
      <c r="X12" s="5">
        <f>COUNTIFS(B2:B44, "&lt;2.65", E2:E44,"Iris-virginica")</f>
        <v>3</v>
      </c>
      <c r="Y12" s="26">
        <f t="shared" ref="Y12" si="11">(1-POWER(W12/SUM(W12,X12),2)-POWER(X12/SUM(W12,X12),2))*SUM(W12,X12)/43 + (1-POWER(W13/SUM(W13,X13),2)-POWER(X13/SUM(W13,X13),2))*SUM(W13,X13)/43</f>
        <v>0.15229576624925464</v>
      </c>
    </row>
    <row r="13" spans="1:25" x14ac:dyDescent="0.25">
      <c r="A13">
        <v>6.1</v>
      </c>
      <c r="B13">
        <v>2.8</v>
      </c>
      <c r="C13">
        <v>4.0999999999999996</v>
      </c>
      <c r="D13">
        <v>1.3</v>
      </c>
      <c r="E13" s="3" t="s">
        <v>6</v>
      </c>
      <c r="I13">
        <v>6.1</v>
      </c>
      <c r="J13">
        <f t="shared" si="0"/>
        <v>6.15</v>
      </c>
      <c r="L13" s="31"/>
      <c r="M13" s="31" t="s">
        <v>10</v>
      </c>
      <c r="N13" s="31">
        <v>30</v>
      </c>
      <c r="O13" s="31">
        <v>3</v>
      </c>
      <c r="P13" s="34"/>
      <c r="R13">
        <v>3.2</v>
      </c>
      <c r="S13">
        <f t="shared" si="1"/>
        <v>3.25</v>
      </c>
      <c r="U13" s="5"/>
      <c r="V13" s="5" t="s">
        <v>10</v>
      </c>
      <c r="W13" s="5">
        <v>29</v>
      </c>
      <c r="X13" s="5">
        <v>1</v>
      </c>
      <c r="Y13" s="26"/>
    </row>
    <row r="14" spans="1:25" x14ac:dyDescent="0.25">
      <c r="A14">
        <v>6.4</v>
      </c>
      <c r="B14">
        <v>2.7</v>
      </c>
      <c r="C14">
        <v>4.0999999999999996</v>
      </c>
      <c r="D14">
        <v>1</v>
      </c>
      <c r="E14" s="3" t="s">
        <v>6</v>
      </c>
      <c r="I14">
        <v>6.2</v>
      </c>
      <c r="J14">
        <f t="shared" si="0"/>
        <v>6.25</v>
      </c>
      <c r="L14" s="31">
        <v>5.65</v>
      </c>
      <c r="M14" s="31" t="s">
        <v>9</v>
      </c>
      <c r="N14" s="31">
        <f>COUNTIFS(A2:A44, "&lt;5.65", E2:E44,"Iris-versicolor")</f>
        <v>11</v>
      </c>
      <c r="O14" s="31">
        <f>COUNTIFS(A2:A44, "&lt;5.65", E2:E44,"Iris-virginica")</f>
        <v>2</v>
      </c>
      <c r="P14" s="34">
        <f t="shared" ref="P14" si="12">(1-POWER(N14/SUM(N14,O14),2)-POWER(O14/SUM(N14,O14),2))*SUM(N14,O14)/43 + (1-POWER(N15/SUM(N15,O15),2)-POWER(O15/SUM(N15,O15),2))*SUM(N15,O15)/43</f>
        <v>0.16553369111508642</v>
      </c>
      <c r="R14">
        <v>3.3</v>
      </c>
      <c r="S14">
        <f t="shared" si="1"/>
        <v>3.3499999999999996</v>
      </c>
      <c r="U14">
        <v>2.75</v>
      </c>
      <c r="V14" t="s">
        <v>9</v>
      </c>
      <c r="W14">
        <f>COUNTIFS(B2:B44, "&lt;2.75", E2:E44,"Iris-versicolor")</f>
        <v>14</v>
      </c>
      <c r="X14">
        <f>COUNTIFS(B2:B44, "&lt;2.75", E2:E44,"Iris-virginica")</f>
        <v>3</v>
      </c>
      <c r="Y14" s="25">
        <f t="shared" ref="Y14" si="13">(1-POWER(W14/SUM(W14,X14),2)-POWER(X14/SUM(W14,X14),2))*SUM(W14,X14)/43 + (1-POWER(W15/SUM(W15,X15),2)-POWER(X15/SUM(W15,X15),2))*SUM(W15,X15)/43</f>
        <v>0.15963379985267812</v>
      </c>
    </row>
    <row r="15" spans="1:25" x14ac:dyDescent="0.25">
      <c r="A15">
        <v>6.6</v>
      </c>
      <c r="B15">
        <v>2.7</v>
      </c>
      <c r="C15">
        <v>3.9</v>
      </c>
      <c r="D15">
        <v>1.2</v>
      </c>
      <c r="E15" s="3" t="s">
        <v>6</v>
      </c>
      <c r="I15">
        <v>6.3</v>
      </c>
      <c r="J15">
        <f t="shared" si="0"/>
        <v>6.35</v>
      </c>
      <c r="L15" s="31"/>
      <c r="M15" s="31" t="s">
        <v>10</v>
      </c>
      <c r="N15" s="31">
        <v>28</v>
      </c>
      <c r="O15" s="31">
        <v>2</v>
      </c>
      <c r="P15" s="34"/>
      <c r="R15">
        <v>3.4</v>
      </c>
      <c r="V15" t="s">
        <v>10</v>
      </c>
      <c r="W15">
        <v>25</v>
      </c>
      <c r="X15">
        <v>1</v>
      </c>
      <c r="Y15" s="25"/>
    </row>
    <row r="16" spans="1:25" x14ac:dyDescent="0.25">
      <c r="A16">
        <v>6.8</v>
      </c>
      <c r="B16">
        <v>2.6</v>
      </c>
      <c r="C16">
        <v>4</v>
      </c>
      <c r="D16">
        <v>1.2</v>
      </c>
      <c r="E16" s="3" t="s">
        <v>6</v>
      </c>
      <c r="I16">
        <v>6.4</v>
      </c>
      <c r="J16">
        <f t="shared" si="0"/>
        <v>6.5</v>
      </c>
      <c r="L16" s="31">
        <v>5.75</v>
      </c>
      <c r="M16" s="31" t="s">
        <v>9</v>
      </c>
      <c r="N16" s="31">
        <f>COUNTIFS(A2:A44, "&lt;5.75", E2:E44,"Iris-versicolor")</f>
        <v>14</v>
      </c>
      <c r="O16" s="31">
        <f>COUNTIFS(A2:A44, "&lt;5.75", E2:E44,"Iris-virginica")</f>
        <v>2</v>
      </c>
      <c r="P16" s="34">
        <f t="shared" ref="P16" si="14">(1-POWER(N16/SUM(N16,O16),2)-POWER(O16/SUM(N16,O16),2))*SUM(N16,O16)/43 + (1-POWER(N17/SUM(N17,O17),2)-POWER(O17/SUM(N17,O17),2))*SUM(N17,O17)/43</f>
        <v>0.16752799310938843</v>
      </c>
      <c r="U16">
        <v>2.85</v>
      </c>
      <c r="V16" t="s">
        <v>9</v>
      </c>
      <c r="W16">
        <f>COUNTIFS(B2:B44, "&lt;2.85", E2:E44,"Iris-versicolor")</f>
        <v>20</v>
      </c>
      <c r="X16">
        <f>COUNTIFS(B2:B44, "&lt;2.85", E2:E44,"Iris-virginica")</f>
        <v>4</v>
      </c>
      <c r="Y16" s="25">
        <f t="shared" ref="Y16" si="15">(1-POWER(W16/SUM(W16,X16),2)-POWER(X16/SUM(W16,X16),2))*SUM(W16,X16)/43 + (1-POWER(W17/SUM(W17,X17),2)-POWER(X17/SUM(W17,X17),2))*SUM(W17,X17)/43</f>
        <v>0.15503875968992242</v>
      </c>
    </row>
    <row r="17" spans="1:25" x14ac:dyDescent="0.25">
      <c r="A17">
        <v>5.5</v>
      </c>
      <c r="B17">
        <v>3</v>
      </c>
      <c r="C17">
        <v>4.2</v>
      </c>
      <c r="D17">
        <v>1.5</v>
      </c>
      <c r="E17" s="3" t="s">
        <v>6</v>
      </c>
      <c r="I17">
        <v>6.6</v>
      </c>
      <c r="J17">
        <f t="shared" si="0"/>
        <v>6.65</v>
      </c>
      <c r="L17" s="31"/>
      <c r="M17" s="31" t="s">
        <v>10</v>
      </c>
      <c r="N17" s="31">
        <v>25</v>
      </c>
      <c r="O17" s="31">
        <v>2</v>
      </c>
      <c r="P17" s="34"/>
      <c r="V17" t="s">
        <v>10</v>
      </c>
      <c r="W17">
        <v>19</v>
      </c>
      <c r="X17">
        <v>0</v>
      </c>
      <c r="Y17" s="25"/>
    </row>
    <row r="18" spans="1:25" x14ac:dyDescent="0.25">
      <c r="A18">
        <v>6</v>
      </c>
      <c r="B18">
        <v>2.2000000000000002</v>
      </c>
      <c r="C18">
        <v>4</v>
      </c>
      <c r="D18">
        <v>1</v>
      </c>
      <c r="E18" s="3" t="s">
        <v>6</v>
      </c>
      <c r="I18">
        <v>6.7</v>
      </c>
      <c r="J18">
        <f t="shared" si="0"/>
        <v>6.75</v>
      </c>
      <c r="L18" s="31">
        <v>5.85</v>
      </c>
      <c r="M18" s="31" t="s">
        <v>9</v>
      </c>
      <c r="N18" s="31">
        <f>COUNTIFS(A2:A44, "&lt;5.85", E2:E44,"Iris-versicolor")</f>
        <v>17</v>
      </c>
      <c r="O18" s="31">
        <f>COUNTIFS(A2:A44, "&lt;5.85", E2:E44,"Iris-virginica")</f>
        <v>2</v>
      </c>
      <c r="P18" s="34">
        <f t="shared" ref="P18" si="16">(1-POWER(N18/SUM(N18,O18),2)-POWER(O18/SUM(N18,O18),2))*SUM(N18,O18)/43 + (1-POWER(N19/SUM(N19,O19),2)-POWER(O19/SUM(N19,O19),2))*SUM(N19,O19)/43</f>
        <v>0.16850265197878422</v>
      </c>
      <c r="U18">
        <v>2.95</v>
      </c>
      <c r="V18" t="s">
        <v>9</v>
      </c>
      <c r="W18">
        <f>COUNTIFS(B2:B44, "&lt;2.95", E2:E44,"Iris-versicolor")</f>
        <v>26</v>
      </c>
      <c r="X18">
        <f>COUNTIFS(B2:B44, "&lt;2.95", E2:E44,"Iris-virginica")</f>
        <v>4</v>
      </c>
      <c r="Y18" s="25">
        <f t="shared" ref="Y18" si="17">(1-POWER(W18/SUM(W18,X18),2)-POWER(X18/SUM(W18,X18),2))*SUM(W18,X18)/43 + (1-POWER(W19/SUM(W19,X19),2)-POWER(X19/SUM(W19,X19),2))*SUM(W19,X19)/43</f>
        <v>0.16124031007751935</v>
      </c>
    </row>
    <row r="19" spans="1:25" x14ac:dyDescent="0.25">
      <c r="A19">
        <v>5.4</v>
      </c>
      <c r="B19">
        <v>2.9</v>
      </c>
      <c r="C19">
        <v>4.5</v>
      </c>
      <c r="D19">
        <v>1.5</v>
      </c>
      <c r="E19" s="3" t="s">
        <v>6</v>
      </c>
      <c r="I19">
        <v>6.8</v>
      </c>
      <c r="J19">
        <f t="shared" si="0"/>
        <v>6.85</v>
      </c>
      <c r="L19" s="31"/>
      <c r="M19" s="31" t="s">
        <v>10</v>
      </c>
      <c r="N19" s="31">
        <v>22</v>
      </c>
      <c r="O19" s="31">
        <v>2</v>
      </c>
      <c r="P19" s="34"/>
      <c r="V19" t="s">
        <v>10</v>
      </c>
      <c r="W19">
        <v>13</v>
      </c>
      <c r="X19">
        <v>0</v>
      </c>
      <c r="Y19" s="25"/>
    </row>
    <row r="20" spans="1:25" x14ac:dyDescent="0.25">
      <c r="A20">
        <v>6</v>
      </c>
      <c r="B20">
        <v>2.7</v>
      </c>
      <c r="C20">
        <v>5.0999999999999996</v>
      </c>
      <c r="D20">
        <v>1.6</v>
      </c>
      <c r="E20" s="3" t="s">
        <v>6</v>
      </c>
      <c r="I20">
        <v>6.9</v>
      </c>
      <c r="J20">
        <f t="shared" si="0"/>
        <v>7.0500000000000007</v>
      </c>
      <c r="L20" s="31">
        <v>5.95</v>
      </c>
      <c r="M20" s="31" t="s">
        <v>9</v>
      </c>
      <c r="N20" s="31">
        <f>COUNTIFS(A2:A44, "&lt;5.95", E2:E44,"Iris-versicolor")</f>
        <v>18</v>
      </c>
      <c r="O20" s="31">
        <f>COUNTIFS(A2:A44, "&lt;5.95", E2:E44,"Iris-virginica")</f>
        <v>2</v>
      </c>
      <c r="P20" s="34">
        <f t="shared" ref="P20" si="18">(1-POWER(N20/SUM(N20,O20),2)-POWER(O20/SUM(N20,O20),2))*SUM(N20,O20)/43 + (1-POWER(N21/SUM(N21,O21),2)-POWER(O21/SUM(N21,O21),2))*SUM(N21,O21)/43</f>
        <v>0.16865520728008093</v>
      </c>
      <c r="U20">
        <v>3.05</v>
      </c>
      <c r="V20" t="s">
        <v>9</v>
      </c>
      <c r="W20">
        <f>COUNTIFS(B2:B44, "&lt;3.05", E2:E44,"Iris-versicolor")</f>
        <v>32</v>
      </c>
      <c r="X20">
        <f>COUNTIFS(B2:B44, "&lt;3.05", E2:E44,"Iris-virginica")</f>
        <v>4</v>
      </c>
      <c r="Y20" s="25">
        <f t="shared" ref="Y20" si="19">(1-POWER(W20/SUM(W20,X20),2)-POWER(X20/SUM(W20,X20),2))*SUM(W20,X20)/43 + (1-POWER(W21/SUM(W21,X21),2)-POWER(X21/SUM(W21,X21),2))*SUM(W21,X21)/43</f>
        <v>0.16537467700258401</v>
      </c>
    </row>
    <row r="21" spans="1:25" x14ac:dyDescent="0.25">
      <c r="A21">
        <v>6.7</v>
      </c>
      <c r="B21">
        <v>3.4</v>
      </c>
      <c r="C21">
        <v>4.5</v>
      </c>
      <c r="D21">
        <v>1.6</v>
      </c>
      <c r="E21" s="3" t="s">
        <v>6</v>
      </c>
      <c r="I21">
        <v>7.2</v>
      </c>
      <c r="J21">
        <f t="shared" si="0"/>
        <v>7.3000000000000007</v>
      </c>
      <c r="L21" s="31"/>
      <c r="M21" s="31" t="s">
        <v>10</v>
      </c>
      <c r="N21" s="31">
        <v>21</v>
      </c>
      <c r="O21" s="31">
        <v>2</v>
      </c>
      <c r="P21" s="34"/>
      <c r="V21" t="s">
        <v>10</v>
      </c>
      <c r="W21">
        <v>7</v>
      </c>
      <c r="X21">
        <v>0</v>
      </c>
      <c r="Y21" s="25"/>
    </row>
    <row r="22" spans="1:25" x14ac:dyDescent="0.25">
      <c r="A22">
        <v>6.3</v>
      </c>
      <c r="B22">
        <v>2.2000000000000002</v>
      </c>
      <c r="C22">
        <v>5</v>
      </c>
      <c r="D22">
        <v>1.5</v>
      </c>
      <c r="E22" s="3" t="s">
        <v>7</v>
      </c>
      <c r="I22">
        <v>7.4</v>
      </c>
      <c r="J22">
        <f t="shared" si="0"/>
        <v>7.5</v>
      </c>
      <c r="L22" s="31">
        <v>6.05</v>
      </c>
      <c r="M22" s="31" t="s">
        <v>9</v>
      </c>
      <c r="N22" s="31">
        <f>COUNTIFS(A2:A44, "&lt;6.05", E2:E44,"Iris-versicolor")</f>
        <v>20</v>
      </c>
      <c r="O22" s="31">
        <f>COUNTIFS(A2:A44, "&lt;6.05", E2:E44,"Iris-virginica")</f>
        <v>2</v>
      </c>
      <c r="P22" s="34">
        <f t="shared" ref="P22" si="20">(1-POWER(N22/SUM(N22,O22),2)-POWER(O22/SUM(N22,O22),2))*SUM(N22,O22)/43 + (1-POWER(N23/SUM(N23,O23),2)-POWER(O23/SUM(N23,O23),2))*SUM(N23,O23)/43</f>
        <v>0.16873049431188969</v>
      </c>
      <c r="U22">
        <v>3.15</v>
      </c>
      <c r="V22" t="s">
        <v>9</v>
      </c>
      <c r="W22">
        <f>COUNTIFS(B2:B44, "&lt;3.15", E2:E44,"Iris-versicolor")</f>
        <v>35</v>
      </c>
      <c r="X22">
        <f>COUNTIFS(B2:B44, "&lt;3.15", E2:E44,"Iris-virginica")</f>
        <v>4</v>
      </c>
      <c r="Y22" s="25">
        <f t="shared" ref="Y22" si="21">(1-POWER(W22/SUM(W22,X22),2)-POWER(X22/SUM(W22,X22),2))*SUM(W22,X22)/43 + (1-POWER(W23/SUM(W23,X23),2)-POWER(X23/SUM(W23,X23),2))*SUM(W23,X23)/43</f>
        <v>0.1669648181276088</v>
      </c>
    </row>
    <row r="23" spans="1:25" x14ac:dyDescent="0.25">
      <c r="A23">
        <v>5.5</v>
      </c>
      <c r="B23">
        <v>2.9</v>
      </c>
      <c r="C23">
        <v>4.7</v>
      </c>
      <c r="D23">
        <v>1.4</v>
      </c>
      <c r="E23" s="3" t="s">
        <v>6</v>
      </c>
      <c r="I23">
        <v>7.6</v>
      </c>
      <c r="J23">
        <f t="shared" si="0"/>
        <v>7.65</v>
      </c>
      <c r="L23" s="31"/>
      <c r="M23" s="31" t="s">
        <v>10</v>
      </c>
      <c r="N23" s="31">
        <v>19</v>
      </c>
      <c r="O23" s="31">
        <v>2</v>
      </c>
      <c r="P23" s="34"/>
      <c r="V23" t="s">
        <v>10</v>
      </c>
      <c r="W23">
        <v>4</v>
      </c>
      <c r="X23">
        <v>0</v>
      </c>
      <c r="Y23" s="25"/>
    </row>
    <row r="24" spans="1:25" x14ac:dyDescent="0.25">
      <c r="A24">
        <v>5.5</v>
      </c>
      <c r="B24">
        <v>2.8</v>
      </c>
      <c r="C24">
        <v>4</v>
      </c>
      <c r="D24">
        <v>1.3</v>
      </c>
      <c r="E24" s="3" t="s">
        <v>6</v>
      </c>
      <c r="I24">
        <v>7.7</v>
      </c>
      <c r="L24" s="31">
        <v>6.15</v>
      </c>
      <c r="M24" s="31" t="s">
        <v>9</v>
      </c>
      <c r="N24" s="31">
        <f>COUNTIFS(A2:A44, "&lt;6.15", E2:E44,"Iris-versicolor")</f>
        <v>22</v>
      </c>
      <c r="O24" s="31">
        <f>COUNTIFS(A2:A44, "&lt;6.15", E2:E44,"Iris-virginica")</f>
        <v>2</v>
      </c>
      <c r="P24" s="34">
        <f t="shared" ref="P24" si="22">(1-POWER(N24/SUM(N24,O24),2)-POWER(O24/SUM(N24,O24),2))*SUM(N24,O24)/43 + (1-POWER(N25/SUM(N25,O25),2)-POWER(O25/SUM(N25,O25),2))*SUM(N25,O25)/43</f>
        <v>0.16850265197878422</v>
      </c>
      <c r="U24">
        <v>3.25</v>
      </c>
      <c r="V24" t="s">
        <v>9</v>
      </c>
      <c r="W24">
        <f>COUNTIFS(B2:B44, "&lt;3.25", E2:E44,"Iris-versicolor")</f>
        <v>37</v>
      </c>
      <c r="X24">
        <f>COUNTIFS(B2:B44, "&lt;3.25", E2:E44,"Iris-virginica")</f>
        <v>4</v>
      </c>
      <c r="Y24" s="25">
        <f t="shared" ref="Y24" si="23">(1-POWER(W24/SUM(W24,X24),2)-POWER(X24/SUM(W24,X24),2))*SUM(W24,X24)/43 + (1-POWER(W25/SUM(W25,X25),2)-POWER(X25/SUM(W25,X25),2))*SUM(W25,X25)/43</f>
        <v>0.16789563244469649</v>
      </c>
    </row>
    <row r="25" spans="1:25" x14ac:dyDescent="0.25">
      <c r="A25">
        <v>6.1</v>
      </c>
      <c r="B25">
        <v>2.8</v>
      </c>
      <c r="C25">
        <v>4.7</v>
      </c>
      <c r="D25">
        <v>1.2</v>
      </c>
      <c r="E25" s="3" t="s">
        <v>6</v>
      </c>
      <c r="L25" s="31"/>
      <c r="M25" s="31" t="s">
        <v>10</v>
      </c>
      <c r="N25" s="31">
        <v>17</v>
      </c>
      <c r="O25" s="31">
        <v>2</v>
      </c>
      <c r="P25" s="34"/>
      <c r="V25" t="s">
        <v>10</v>
      </c>
      <c r="W25">
        <v>2</v>
      </c>
      <c r="X25">
        <v>0</v>
      </c>
      <c r="Y25" s="25"/>
    </row>
    <row r="26" spans="1:25" x14ac:dyDescent="0.25">
      <c r="A26">
        <v>5.8</v>
      </c>
      <c r="B26">
        <v>3</v>
      </c>
      <c r="C26">
        <v>4.5999999999999996</v>
      </c>
      <c r="D26">
        <v>1.4</v>
      </c>
      <c r="E26" s="3" t="s">
        <v>6</v>
      </c>
      <c r="L26" s="31">
        <v>6.25</v>
      </c>
      <c r="M26" s="31" t="s">
        <v>9</v>
      </c>
      <c r="N26" s="31">
        <f>COUNTIFS(A2:A44, "&lt;6.25", E2:E44,"Iris-versicolor")</f>
        <v>23</v>
      </c>
      <c r="O26" s="31">
        <f>COUNTIFS(A2:A44, "&lt;6.25", E2:E44,"Iris-virginica")</f>
        <v>2</v>
      </c>
      <c r="P26" s="34">
        <f t="shared" ref="P26" si="24">(1-POWER(N26/SUM(N26,O26),2)-POWER(O26/SUM(N26,O26),2))*SUM(N26,O26)/43 + (1-POWER(N27/SUM(N27,O27),2)-POWER(O27/SUM(N27,O27),2))*SUM(N27,O27)/43</f>
        <v>0.16826873385012919</v>
      </c>
      <c r="U26">
        <v>3.35</v>
      </c>
      <c r="V26" t="s">
        <v>9</v>
      </c>
      <c r="W26">
        <f>COUNTIFS(B2:B44, "&lt;3.35", E2:E44,"Iris-versicolor")</f>
        <v>38</v>
      </c>
      <c r="X26">
        <f>COUNTIFS(B2:B44, "&lt;3.35", E2:E44,"Iris-virginica")</f>
        <v>4</v>
      </c>
      <c r="Y26" s="25">
        <f t="shared" ref="Y26" si="25">(1-POWER(W26/SUM(W26,X26),2)-POWER(X26/SUM(W26,X26),2))*SUM(W26,X26)/43 + (1-POWER(W27/SUM(W27,X27),2)-POWER(X27/SUM(W27,X27),2))*SUM(W27,X27)/43</f>
        <v>0.16832779623477293</v>
      </c>
    </row>
    <row r="27" spans="1:25" x14ac:dyDescent="0.25">
      <c r="A27">
        <v>5.6</v>
      </c>
      <c r="B27">
        <v>2.6</v>
      </c>
      <c r="C27">
        <v>5.6</v>
      </c>
      <c r="D27">
        <v>1.4</v>
      </c>
      <c r="E27" s="3" t="s">
        <v>7</v>
      </c>
      <c r="L27" s="31"/>
      <c r="M27" s="31" t="s">
        <v>10</v>
      </c>
      <c r="N27" s="31">
        <v>16</v>
      </c>
      <c r="O27" s="31">
        <v>2</v>
      </c>
      <c r="P27" s="34"/>
      <c r="V27" t="s">
        <v>10</v>
      </c>
      <c r="W27">
        <v>1</v>
      </c>
      <c r="X27">
        <v>0</v>
      </c>
      <c r="Y27" s="25"/>
    </row>
    <row r="28" spans="1:25" x14ac:dyDescent="0.25">
      <c r="A28">
        <v>5.7</v>
      </c>
      <c r="B28">
        <v>2.2000000000000002</v>
      </c>
      <c r="C28">
        <v>4.5</v>
      </c>
      <c r="D28">
        <v>1.5</v>
      </c>
      <c r="E28" s="3" t="s">
        <v>6</v>
      </c>
      <c r="L28" s="31">
        <v>6.35</v>
      </c>
      <c r="M28" s="31" t="s">
        <v>9</v>
      </c>
      <c r="N28" s="31">
        <f>COUNTIFS(A2:A44, "&lt;6.35", E2:E44,"Iris-versicolor")</f>
        <v>26</v>
      </c>
      <c r="O28" s="31">
        <f>COUNTIFS(A2:A44, "&lt;6.35", E2:E44,"Iris-virginica")</f>
        <v>3</v>
      </c>
      <c r="P28" s="34">
        <f t="shared" ref="P28" si="26">(1-POWER(N28/SUM(N28,O28),2)-POWER(O28/SUM(N28,O28),2))*SUM(N28,O28)/43 + (1-POWER(N29/SUM(N29,O29),2)-POWER(O29/SUM(N29,O29),2))*SUM(N29,O29)/43</f>
        <v>0.16828960934814979</v>
      </c>
    </row>
    <row r="29" spans="1:25" x14ac:dyDescent="0.25">
      <c r="A29">
        <v>5.7</v>
      </c>
      <c r="B29">
        <v>2.9</v>
      </c>
      <c r="C29">
        <v>4.3</v>
      </c>
      <c r="D29">
        <v>1.3</v>
      </c>
      <c r="E29" s="3" t="s">
        <v>6</v>
      </c>
      <c r="L29" s="31"/>
      <c r="M29" s="31" t="s">
        <v>10</v>
      </c>
      <c r="N29" s="31">
        <v>13</v>
      </c>
      <c r="O29" s="31">
        <v>1</v>
      </c>
      <c r="P29" s="34"/>
      <c r="V29" s="1" t="s">
        <v>21</v>
      </c>
      <c r="W29" s="1">
        <f>MIN(Y2:Y26)</f>
        <v>0.15229576624925464</v>
      </c>
    </row>
    <row r="30" spans="1:25" x14ac:dyDescent="0.25">
      <c r="A30">
        <v>5.7</v>
      </c>
      <c r="B30">
        <v>3.3</v>
      </c>
      <c r="C30">
        <v>4.7</v>
      </c>
      <c r="D30">
        <v>1.6</v>
      </c>
      <c r="E30" s="3" t="s">
        <v>6</v>
      </c>
      <c r="L30" s="31">
        <v>6.5</v>
      </c>
      <c r="M30" s="31" t="s">
        <v>9</v>
      </c>
      <c r="N30" s="31">
        <f>COUNTIFS(A2:A44, "&lt;6.5", E2:E44,"Iris-versicolor")</f>
        <v>30</v>
      </c>
      <c r="O30" s="31">
        <f>COUNTIFS(A2:A44, "&lt;6.5", E2:E44,"Iris-virginica")</f>
        <v>3</v>
      </c>
      <c r="P30" s="34">
        <f t="shared" ref="P30" si="27">(1-POWER(N30/SUM(N30,O30),2)-POWER(O30/SUM(N30,O30),2))*SUM(N30,O30)/43 + (1-POWER(N31/SUM(N31,O31),2)-POWER(O31/SUM(N31,O31),2))*SUM(N31,O31)/43</f>
        <v>0.16871035940803389</v>
      </c>
    </row>
    <row r="31" spans="1:25" x14ac:dyDescent="0.25">
      <c r="A31">
        <v>6.3</v>
      </c>
      <c r="B31">
        <v>2.5</v>
      </c>
      <c r="C31">
        <v>4.9000000000000004</v>
      </c>
      <c r="D31">
        <v>1.5</v>
      </c>
      <c r="E31" s="3" t="s">
        <v>6</v>
      </c>
      <c r="L31" s="31"/>
      <c r="M31" s="31" t="s">
        <v>10</v>
      </c>
      <c r="N31" s="31">
        <v>9</v>
      </c>
      <c r="O31" s="31">
        <v>1</v>
      </c>
      <c r="P31" s="34"/>
    </row>
    <row r="32" spans="1:25" x14ac:dyDescent="0.25">
      <c r="A32">
        <v>5.8</v>
      </c>
      <c r="B32">
        <v>2.2999999999999998</v>
      </c>
      <c r="C32">
        <v>4.4000000000000004</v>
      </c>
      <c r="D32">
        <v>1.3</v>
      </c>
      <c r="E32" s="3" t="s">
        <v>6</v>
      </c>
      <c r="L32" s="31">
        <v>6.65</v>
      </c>
      <c r="M32" s="31" t="s">
        <v>9</v>
      </c>
      <c r="N32" s="31">
        <f>COUNTIFS(A2:A44, "&lt;6.65", E2:E44,"Iris-versicolor")</f>
        <v>31</v>
      </c>
      <c r="O32" s="31">
        <f>COUNTIFS(A2:A44, "&lt;6.65", E2:E44,"Iris-virginica")</f>
        <v>3</v>
      </c>
      <c r="P32" s="34">
        <f t="shared" ref="P32" si="28">(1-POWER(N32/SUM(N32,O32),2)-POWER(O32/SUM(N32,O32),2))*SUM(N32,O32)/43 + (1-POWER(N33/SUM(N33,O33),2)-POWER(O33/SUM(N33,O33),2))*SUM(N33,O33)/43</f>
        <v>0.16856665146678834</v>
      </c>
    </row>
    <row r="33" spans="1:16" x14ac:dyDescent="0.25">
      <c r="A33">
        <v>7.6</v>
      </c>
      <c r="B33">
        <v>2.8</v>
      </c>
      <c r="C33">
        <v>5.0999999999999996</v>
      </c>
      <c r="D33">
        <v>1.5</v>
      </c>
      <c r="E33" s="3" t="s">
        <v>7</v>
      </c>
      <c r="L33" s="31"/>
      <c r="M33" s="31" t="s">
        <v>10</v>
      </c>
      <c r="N33" s="31">
        <v>8</v>
      </c>
      <c r="O33" s="31">
        <v>1</v>
      </c>
      <c r="P33" s="34"/>
    </row>
    <row r="34" spans="1:16" x14ac:dyDescent="0.25">
      <c r="A34">
        <v>6.7</v>
      </c>
      <c r="B34">
        <v>3.2</v>
      </c>
      <c r="C34">
        <v>4.5</v>
      </c>
      <c r="D34">
        <v>1.5</v>
      </c>
      <c r="E34" s="3" t="s">
        <v>6</v>
      </c>
      <c r="L34" s="31">
        <v>6.75</v>
      </c>
      <c r="M34" s="31" t="s">
        <v>9</v>
      </c>
      <c r="N34" s="31">
        <f>COUNTIFS(A2:A44, "&lt;6.75", E2:E44,"Iris-versicolor")</f>
        <v>34</v>
      </c>
      <c r="O34" s="31">
        <f>COUNTIFS(A2:A44, "&lt;6.75", E2:E44,"Iris-virginica")</f>
        <v>3</v>
      </c>
      <c r="P34" s="34">
        <f t="shared" ref="P34" si="29">(1-POWER(N34/SUM(N34,O34),2)-POWER(O34/SUM(N34,O34),2))*SUM(N34,O34)/43 + (1-POWER(N35/SUM(N35,O35),2)-POWER(O35/SUM(N35,O35),2))*SUM(N35,O35)/43</f>
        <v>0.1669809344227948</v>
      </c>
    </row>
    <row r="35" spans="1:16" x14ac:dyDescent="0.25">
      <c r="A35">
        <v>7.2</v>
      </c>
      <c r="B35">
        <v>2.9</v>
      </c>
      <c r="C35">
        <v>4.3</v>
      </c>
      <c r="D35">
        <v>1.3</v>
      </c>
      <c r="E35" s="3" t="s">
        <v>6</v>
      </c>
      <c r="L35" s="31"/>
      <c r="M35" s="31" t="s">
        <v>10</v>
      </c>
      <c r="N35" s="31">
        <v>5</v>
      </c>
      <c r="O35" s="31">
        <v>1</v>
      </c>
      <c r="P35" s="34"/>
    </row>
    <row r="36" spans="1:16" x14ac:dyDescent="0.25">
      <c r="A36">
        <v>6.4</v>
      </c>
      <c r="B36">
        <v>2.8</v>
      </c>
      <c r="C36">
        <v>4.5999999999999996</v>
      </c>
      <c r="D36">
        <v>1.5</v>
      </c>
      <c r="E36" s="3" t="s">
        <v>6</v>
      </c>
      <c r="L36" s="31">
        <v>6.85</v>
      </c>
      <c r="M36" s="31" t="s">
        <v>9</v>
      </c>
      <c r="N36" s="31">
        <f>COUNTIFS(A2:A44, "&lt;6.85", E2:E44,"Iris-versicolor")</f>
        <v>35</v>
      </c>
      <c r="O36" s="31">
        <f>COUNTIFS(A2:A44, "&lt;6.85", E2:E44,"Iris-virginica")</f>
        <v>3</v>
      </c>
      <c r="P36" s="34">
        <f t="shared" ref="P36" si="30">(1-POWER(N36/SUM(N36,O36),2)-POWER(O36/SUM(N36,O36),2))*SUM(N36,O36)/43 + (1-POWER(N37/SUM(N37,O37),2)-POWER(O37/SUM(N37,O37),2))*SUM(N37,O37)/43</f>
        <v>0.16572827417380664</v>
      </c>
    </row>
    <row r="37" spans="1:16" x14ac:dyDescent="0.25">
      <c r="A37">
        <v>6.9</v>
      </c>
      <c r="B37">
        <v>2.9</v>
      </c>
      <c r="C37">
        <v>4.5999999999999996</v>
      </c>
      <c r="D37">
        <v>1.3</v>
      </c>
      <c r="E37" s="3" t="s">
        <v>6</v>
      </c>
      <c r="L37" s="31"/>
      <c r="M37" s="31" t="s">
        <v>10</v>
      </c>
      <c r="N37" s="31">
        <v>4</v>
      </c>
      <c r="O37" s="31">
        <v>1</v>
      </c>
      <c r="P37" s="34"/>
    </row>
    <row r="38" spans="1:16" x14ac:dyDescent="0.25">
      <c r="A38">
        <v>5.6</v>
      </c>
      <c r="B38">
        <v>3</v>
      </c>
      <c r="C38">
        <v>4.4000000000000004</v>
      </c>
      <c r="D38">
        <v>1.4</v>
      </c>
      <c r="E38" s="3" t="s">
        <v>6</v>
      </c>
      <c r="L38" s="31">
        <v>7.05</v>
      </c>
      <c r="M38" s="31" t="s">
        <v>9</v>
      </c>
      <c r="N38" s="31">
        <f>COUNTIFS(A2:A44, "&lt;7.05", E2:E44,"Iris-versicolor")</f>
        <v>36</v>
      </c>
      <c r="O38" s="31">
        <f>COUNTIFS(A2:A44, "&lt;7.05", E2:E44,"Iris-virginica")</f>
        <v>3</v>
      </c>
      <c r="P38" s="34">
        <f t="shared" ref="P38" si="31">(1-POWER(N38/SUM(N38,O38),2)-POWER(O38/SUM(N38,O38),2))*SUM(N38,O38)/43 + (1-POWER(N39/SUM(N39,O39),2)-POWER(O39/SUM(N39,O39),2))*SUM(N39,O39)/43</f>
        <v>0.16368515205724496</v>
      </c>
    </row>
    <row r="39" spans="1:16" x14ac:dyDescent="0.25">
      <c r="A39">
        <v>7.7</v>
      </c>
      <c r="B39">
        <v>3.1</v>
      </c>
      <c r="C39">
        <v>4.4000000000000004</v>
      </c>
      <c r="D39">
        <v>1.4</v>
      </c>
      <c r="E39" s="3" t="s">
        <v>6</v>
      </c>
      <c r="L39" s="31"/>
      <c r="M39" s="31" t="s">
        <v>10</v>
      </c>
      <c r="N39" s="31">
        <v>3</v>
      </c>
      <c r="O39" s="31">
        <v>1</v>
      </c>
      <c r="P39" s="34"/>
    </row>
    <row r="40" spans="1:16" x14ac:dyDescent="0.25">
      <c r="A40">
        <v>6.3</v>
      </c>
      <c r="B40">
        <v>3</v>
      </c>
      <c r="C40">
        <v>5</v>
      </c>
      <c r="D40">
        <v>1.7</v>
      </c>
      <c r="E40" s="3" t="s">
        <v>6</v>
      </c>
      <c r="L40" s="31">
        <v>7.3</v>
      </c>
      <c r="M40" s="31" t="s">
        <v>9</v>
      </c>
      <c r="N40" s="31">
        <f>COUNTIFS(A2:A44, "&lt;7.3", E2:E44,"Iris-versicolor")</f>
        <v>37</v>
      </c>
      <c r="O40" s="31">
        <f>COUNTIFS(A2:A44, "&lt;7.3", E2:E44,"Iris-virginica")</f>
        <v>3</v>
      </c>
      <c r="P40" s="34">
        <f t="shared" ref="P40" si="32">(1-POWER(N40/SUM(N40,O40),2)-POWER(O40/SUM(N40,O40),2))*SUM(N40,O40)/43 + (1-POWER(N41/SUM(N41,O41),2)-POWER(O41/SUM(N41,O41),2))*SUM(N41,O41)/43</f>
        <v>0.16007751937984491</v>
      </c>
    </row>
    <row r="41" spans="1:16" x14ac:dyDescent="0.25">
      <c r="A41">
        <v>6.7</v>
      </c>
      <c r="B41">
        <v>3.1</v>
      </c>
      <c r="C41">
        <v>4.7</v>
      </c>
      <c r="D41">
        <v>1.5</v>
      </c>
      <c r="E41" s="3" t="s">
        <v>6</v>
      </c>
      <c r="L41" s="31"/>
      <c r="M41" s="31" t="s">
        <v>10</v>
      </c>
      <c r="N41" s="31">
        <v>2</v>
      </c>
      <c r="O41" s="31">
        <v>1</v>
      </c>
      <c r="P41" s="34"/>
    </row>
    <row r="42" spans="1:16" x14ac:dyDescent="0.25">
      <c r="A42">
        <v>7.4</v>
      </c>
      <c r="B42">
        <v>2.8</v>
      </c>
      <c r="C42">
        <v>4.8</v>
      </c>
      <c r="D42">
        <v>1.4</v>
      </c>
      <c r="E42" s="3" t="s">
        <v>6</v>
      </c>
      <c r="L42" s="35">
        <v>7.5</v>
      </c>
      <c r="M42" s="35" t="s">
        <v>9</v>
      </c>
      <c r="N42" s="35">
        <f>COUNTIFS(A2:A44, "&lt;7.5", E2:E44,"Iris-versicolor")</f>
        <v>38</v>
      </c>
      <c r="O42" s="35">
        <f>COUNTIFS(A2:A44, "&lt;7.5", E2:E44,"Iris-virginica")</f>
        <v>3</v>
      </c>
      <c r="P42" s="36">
        <f t="shared" ref="P42" si="33">(1-POWER(N42/SUM(N42,O42),2)-POWER(O42/SUM(N42,O42),2))*SUM(N42,O42)/43 + (1-POWER(N43/SUM(N43,O43),2)-POWER(O43/SUM(N43,O43),2))*SUM(N43,O43)/43</f>
        <v>0.1525808281338627</v>
      </c>
    </row>
    <row r="43" spans="1:16" x14ac:dyDescent="0.25">
      <c r="A43">
        <v>6.3</v>
      </c>
      <c r="B43">
        <v>3.1</v>
      </c>
      <c r="C43">
        <v>4.9000000000000004</v>
      </c>
      <c r="D43">
        <v>1.5</v>
      </c>
      <c r="E43" s="3" t="s">
        <v>6</v>
      </c>
      <c r="L43" s="35"/>
      <c r="M43" s="35" t="s">
        <v>10</v>
      </c>
      <c r="N43" s="35">
        <v>1</v>
      </c>
      <c r="O43" s="35">
        <v>1</v>
      </c>
      <c r="P43" s="36"/>
    </row>
    <row r="44" spans="1:16" x14ac:dyDescent="0.25">
      <c r="A44">
        <v>6.4</v>
      </c>
      <c r="B44">
        <v>3.2</v>
      </c>
      <c r="C44">
        <v>4.7</v>
      </c>
      <c r="D44">
        <v>1.4</v>
      </c>
      <c r="E44" s="3" t="s">
        <v>6</v>
      </c>
      <c r="L44" s="31">
        <v>7.65</v>
      </c>
      <c r="M44" s="31" t="s">
        <v>9</v>
      </c>
      <c r="N44" s="31">
        <f>COUNTIFS(A2:A44, "&lt;7.65", E2:E44,"Iris-versicolor")</f>
        <v>38</v>
      </c>
      <c r="O44" s="31">
        <f>COUNTIFS(A2:A44, "&lt;7.65", E2:E44,"Iris-virginica")</f>
        <v>4</v>
      </c>
      <c r="P44" s="34">
        <f t="shared" ref="P44" si="34">(1-POWER(N44/SUM(N44,O44),2)-POWER(O44/SUM(N44,O44),2))*SUM(N44,O44)/43 + (1-POWER(N45/SUM(N45,O45),2)-POWER(O45/SUM(N45,O45),2))*SUM(N45,O45)/43</f>
        <v>0.16832779623477293</v>
      </c>
    </row>
    <row r="45" spans="1:16" x14ac:dyDescent="0.25">
      <c r="L45" s="31"/>
      <c r="M45" s="31" t="s">
        <v>10</v>
      </c>
      <c r="N45" s="31">
        <v>1</v>
      </c>
      <c r="O45" s="31">
        <v>0</v>
      </c>
      <c r="P45" s="34"/>
    </row>
    <row r="47" spans="1:16" x14ac:dyDescent="0.25">
      <c r="M47" s="1" t="s">
        <v>21</v>
      </c>
      <c r="N47" s="1">
        <f>MIN(P2:P44)</f>
        <v>0.1525808281338627</v>
      </c>
    </row>
  </sheetData>
  <sortState ref="R2:R45">
    <sortCondition ref="R1"/>
  </sortState>
  <mergeCells count="35">
    <mergeCell ref="P24:P25"/>
    <mergeCell ref="P2:P3"/>
    <mergeCell ref="P4:P5"/>
    <mergeCell ref="P6:P7"/>
    <mergeCell ref="P8:P9"/>
    <mergeCell ref="P10:P11"/>
    <mergeCell ref="P12:P13"/>
    <mergeCell ref="P14:P15"/>
    <mergeCell ref="P16:P17"/>
    <mergeCell ref="P18:P19"/>
    <mergeCell ref="P20:P21"/>
    <mergeCell ref="P22:P23"/>
    <mergeCell ref="P38:P39"/>
    <mergeCell ref="P40:P41"/>
    <mergeCell ref="P42:P43"/>
    <mergeCell ref="P44:P45"/>
    <mergeCell ref="Y2:Y3"/>
    <mergeCell ref="Y4:Y5"/>
    <mergeCell ref="Y6:Y7"/>
    <mergeCell ref="Y8:Y9"/>
    <mergeCell ref="Y10:Y11"/>
    <mergeCell ref="Y12:Y13"/>
    <mergeCell ref="P26:P27"/>
    <mergeCell ref="P28:P29"/>
    <mergeCell ref="P30:P31"/>
    <mergeCell ref="P32:P33"/>
    <mergeCell ref="P34:P35"/>
    <mergeCell ref="P36:P37"/>
    <mergeCell ref="Y26:Y27"/>
    <mergeCell ref="Y14:Y15"/>
    <mergeCell ref="Y16:Y17"/>
    <mergeCell ref="Y18:Y19"/>
    <mergeCell ref="Y20:Y21"/>
    <mergeCell ref="Y22:Y23"/>
    <mergeCell ref="Y24:Y2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4"/>
  <sheetViews>
    <sheetView topLeftCell="A58" zoomScale="73" zoomScaleNormal="73" workbookViewId="0">
      <selection activeCell="G20" sqref="G20"/>
    </sheetView>
  </sheetViews>
  <sheetFormatPr defaultRowHeight="15" x14ac:dyDescent="0.25"/>
  <cols>
    <col min="19" max="19" width="9.140625" style="3"/>
    <col min="23" max="23" width="9.140625" style="2"/>
  </cols>
  <sheetData>
    <row r="1" spans="1:23" x14ac:dyDescent="0.25">
      <c r="A1" t="s">
        <v>0</v>
      </c>
      <c r="B1" t="s">
        <v>1</v>
      </c>
      <c r="C1" t="s">
        <v>2</v>
      </c>
      <c r="E1" t="s">
        <v>3</v>
      </c>
      <c r="F1" t="s">
        <v>4</v>
      </c>
      <c r="G1" t="s">
        <v>4</v>
      </c>
      <c r="J1" t="s">
        <v>1</v>
      </c>
      <c r="L1" t="s">
        <v>18</v>
      </c>
      <c r="M1" t="s">
        <v>16</v>
      </c>
      <c r="N1" t="s">
        <v>15</v>
      </c>
      <c r="O1" t="s">
        <v>24</v>
      </c>
      <c r="Q1" t="s">
        <v>2</v>
      </c>
      <c r="R1" t="s">
        <v>2</v>
      </c>
      <c r="S1" s="3" t="s">
        <v>2</v>
      </c>
      <c r="T1" t="s">
        <v>16</v>
      </c>
      <c r="U1" t="s">
        <v>15</v>
      </c>
      <c r="V1" t="s">
        <v>18</v>
      </c>
      <c r="W1" s="2" t="s">
        <v>24</v>
      </c>
    </row>
    <row r="2" spans="1:23" x14ac:dyDescent="0.25">
      <c r="A2" s="5">
        <v>5.4</v>
      </c>
      <c r="B2" s="5">
        <v>3.1</v>
      </c>
      <c r="C2" s="5">
        <v>1.5</v>
      </c>
      <c r="E2" s="5">
        <v>0.2</v>
      </c>
      <c r="F2" s="5" t="s">
        <v>5</v>
      </c>
      <c r="G2" s="5" t="s">
        <v>5</v>
      </c>
      <c r="I2">
        <f>AVERAGE(J2,J4)</f>
        <v>2.25</v>
      </c>
      <c r="J2">
        <v>2.2000000000000002</v>
      </c>
      <c r="K2" t="s">
        <v>9</v>
      </c>
      <c r="L2">
        <f>COUNTIFS(B2:B84, "&lt;2.25", F2:F84,"Iris-setosa")</f>
        <v>0</v>
      </c>
      <c r="M2">
        <f>COUNTIFS(B2:B84, "&lt;2.2", F2:F84,"Iris-versicolor")</f>
        <v>0</v>
      </c>
      <c r="N2">
        <f>COUNTIFS(B2:B84, "&lt;2.2", F2:F84,"Iris-virginica")</f>
        <v>0</v>
      </c>
      <c r="Q2" s="5">
        <v>1.5</v>
      </c>
      <c r="R2" s="5">
        <v>1.5</v>
      </c>
      <c r="S2" s="3">
        <v>1.5</v>
      </c>
      <c r="T2">
        <f>COUNTIFS(Q2:Q84, "&lt;1.5", F2:F84,"Iris-versicolor")</f>
        <v>0</v>
      </c>
      <c r="U2">
        <f>COUNTIFS(Q2:Q84, "&lt;1.5", F2:F84,"Iris-virginica")</f>
        <v>0</v>
      </c>
      <c r="V2">
        <f>COUNTIFS(R2:R84, "&lt;1.5", G2:G84,"Iris-setosa")</f>
        <v>0</v>
      </c>
    </row>
    <row r="3" spans="1:23" x14ac:dyDescent="0.25">
      <c r="A3" s="5">
        <v>5.7</v>
      </c>
      <c r="B3" s="5">
        <v>3.1</v>
      </c>
      <c r="C3" s="5">
        <v>1.5</v>
      </c>
      <c r="E3" s="5">
        <v>0.1</v>
      </c>
      <c r="F3" s="5" t="s">
        <v>5</v>
      </c>
      <c r="G3" s="5" t="s">
        <v>5</v>
      </c>
      <c r="K3" t="s">
        <v>10</v>
      </c>
      <c r="L3">
        <v>10</v>
      </c>
      <c r="M3">
        <v>37</v>
      </c>
      <c r="N3">
        <v>36</v>
      </c>
      <c r="Q3" s="5">
        <v>1.5</v>
      </c>
      <c r="R3" s="5">
        <v>1.5</v>
      </c>
      <c r="T3">
        <f>COUNTIFS(Q2:Q84, "&gt;=1.5", F2:F84,"Iris-versicolor")</f>
        <v>36</v>
      </c>
      <c r="U3">
        <f>COUNTIFS(Q2:Q84, "&gt;=1.5", F2:F84,"Iris-virginica")</f>
        <v>35</v>
      </c>
      <c r="V3">
        <v>3</v>
      </c>
    </row>
    <row r="4" spans="1:23" x14ac:dyDescent="0.25">
      <c r="A4">
        <v>5.4</v>
      </c>
      <c r="B4">
        <v>2.4</v>
      </c>
      <c r="C4">
        <v>3.3</v>
      </c>
      <c r="E4">
        <v>1</v>
      </c>
      <c r="F4" t="s">
        <v>6</v>
      </c>
      <c r="G4" t="s">
        <v>6</v>
      </c>
      <c r="I4">
        <f>AVERAGE(J4,J6)</f>
        <v>2.3499999999999996</v>
      </c>
      <c r="J4">
        <v>2.2999999999999998</v>
      </c>
      <c r="K4" t="s">
        <v>9</v>
      </c>
      <c r="L4">
        <f>COUNTIFS(B2:B84, "&lt;2.35", F2:F84,"Iris-setosa")</f>
        <v>0</v>
      </c>
      <c r="M4">
        <f>COUNTIFS(B2:B84, "&lt;2.3", F2:F84,"Iris-versicolor")</f>
        <v>2</v>
      </c>
      <c r="N4">
        <f>COUNTIFS(B2:B84, "&lt;2.3", F2:F84,"Iris-virginica")</f>
        <v>1</v>
      </c>
      <c r="O4" s="27">
        <f>(1-POWER(L4/SUM(L4,M4,N4),2)-POWER(M4/SUM(L4,M4,N4),2)-POWER(N4/SUM(L4,M4,N4),2))*SUM(L4,M4,N4)/83+(1-POWER(L5/SUM(L5,M5,N5),2)-POWER(M5/SUM(L5,M5,N5),2)-POWER(N5/SUM(L5,M5,N5),2))*SUM(L5,M5,N5)/83</f>
        <v>0.59588353413654616</v>
      </c>
      <c r="Q4">
        <v>3.3</v>
      </c>
      <c r="R4">
        <v>3.3</v>
      </c>
      <c r="S4" s="3">
        <v>1.7</v>
      </c>
      <c r="T4">
        <f>COUNTIFS(Q2:Q84, "&lt;1.7", F2:F84,"Iris-versicolor")</f>
        <v>0</v>
      </c>
      <c r="U4">
        <f>COUNTIFS(Q2:Q84, "&lt;1.7", F2:F84,"Iris-virginica")</f>
        <v>0</v>
      </c>
      <c r="V4">
        <f>COUNTIFS(R2:R84, "&lt;1.7", G2:G84,"Iris-setosa")</f>
        <v>2</v>
      </c>
      <c r="W4" s="25">
        <f>(1-POWER(T4/SUM(T4,U4,V4),2)-POWER(U4/SUM(T4,U4,V4),2)-POWER(V4/SUM(T4,U4,V4),2))*SUM(T4,U4,V4)/74 + (1-POWER(T5/SUM(T5,U5,V5),2)-POWER(U5/SUM(T5,U5,V5),2)-POWER(V5/SUM(T5,U5,V5),2))*SUM(T5,U5,V5)/74</f>
        <v>0.49962462462462459</v>
      </c>
    </row>
    <row r="5" spans="1:23" x14ac:dyDescent="0.25">
      <c r="A5">
        <v>5.4</v>
      </c>
      <c r="B5">
        <v>2.2999999999999998</v>
      </c>
      <c r="C5">
        <v>3.3</v>
      </c>
      <c r="E5">
        <v>1</v>
      </c>
      <c r="F5" t="s">
        <v>6</v>
      </c>
      <c r="G5" t="s">
        <v>6</v>
      </c>
      <c r="K5" t="s">
        <v>10</v>
      </c>
      <c r="L5">
        <v>10</v>
      </c>
      <c r="M5">
        <v>35</v>
      </c>
      <c r="N5">
        <v>35</v>
      </c>
      <c r="O5" s="27"/>
      <c r="Q5">
        <v>3.3</v>
      </c>
      <c r="R5">
        <v>3.3</v>
      </c>
      <c r="T5">
        <v>36</v>
      </c>
      <c r="U5">
        <v>35</v>
      </c>
      <c r="V5">
        <v>1</v>
      </c>
      <c r="W5" s="25"/>
    </row>
    <row r="6" spans="1:23" x14ac:dyDescent="0.25">
      <c r="A6" s="5">
        <v>5.5</v>
      </c>
      <c r="B6" s="6">
        <v>3.5</v>
      </c>
      <c r="C6" s="6">
        <v>1.4</v>
      </c>
      <c r="E6" s="6">
        <v>0.3</v>
      </c>
      <c r="F6" s="6" t="s">
        <v>5</v>
      </c>
      <c r="G6" s="6" t="s">
        <v>5</v>
      </c>
      <c r="I6">
        <f>AVERAGE(J6,J8)</f>
        <v>2.4500000000000002</v>
      </c>
      <c r="J6">
        <v>2.4</v>
      </c>
      <c r="K6" t="s">
        <v>9</v>
      </c>
      <c r="L6">
        <f>COUNTIFS(B2:B84, "&lt;2.45", F2:F84,"Iris-setosa")</f>
        <v>0</v>
      </c>
      <c r="M6">
        <f>COUNTIFS(B2:B84, "&lt;2.4", F2:F84,"Iris-versicolor")</f>
        <v>4</v>
      </c>
      <c r="N6">
        <f>COUNTIFS(B2:B84, "&lt;2.4", F2:F84,"Iris-virginica")</f>
        <v>1</v>
      </c>
      <c r="O6" s="27">
        <f t="shared" ref="O6" si="0">(1-POWER(L6/SUM(L6,M6,N6),2)-POWER(M6/SUM(L6,M6,N6),2)-POWER(N6/SUM(L6,M6,N6),2))*SUM(L6,M6,N6)/83+(1-POWER(L7/SUM(L7,M7,N7),2)-POWER(M7/SUM(L7,M7,N7),2)-POWER(N7/SUM(L7,M7,N7),2))*SUM(L7,M7,N7)/83</f>
        <v>0.58616002471424167</v>
      </c>
      <c r="Q6" s="6"/>
      <c r="R6" s="6"/>
      <c r="S6" s="3">
        <v>3.3</v>
      </c>
      <c r="T6">
        <f>COUNTIFS(Q2:Q84, "&lt;3.3", F2:F84,"Iris-versicolor")</f>
        <v>0</v>
      </c>
      <c r="U6">
        <f>COUNTIFS(Q2:Q84, "&lt;3.3", F2:F84,"Iris-virginica")</f>
        <v>0</v>
      </c>
      <c r="V6">
        <f>COUNTIFS(R2:R84, "&lt;3.3", G2:G84,"Iris-setosa")</f>
        <v>3</v>
      </c>
      <c r="W6" s="25">
        <f t="shared" ref="W6" si="1">(1-POWER(T6/SUM(T6,U6,V6),2)-POWER(U6/SUM(T6,U6,V6),2)-POWER(V6/SUM(T6,U6,V6),2))*SUM(T6,U6,V6)/74 + (1-POWER(T7/SUM(T7,U7,V7),2)-POWER(U7/SUM(T7,U7,V7),2)-POWER(V7/SUM(T7,U7,V7),2))*SUM(T7,U7,V7)/74</f>
        <v>0.47963456414160638</v>
      </c>
    </row>
    <row r="7" spans="1:23" x14ac:dyDescent="0.25">
      <c r="A7" s="5">
        <v>5.5</v>
      </c>
      <c r="B7" s="5">
        <v>3.3</v>
      </c>
      <c r="C7" s="5">
        <v>1.7</v>
      </c>
      <c r="E7" s="5">
        <v>0.5</v>
      </c>
      <c r="F7" s="5" t="s">
        <v>5</v>
      </c>
      <c r="G7" s="5" t="s">
        <v>5</v>
      </c>
      <c r="K7" t="s">
        <v>10</v>
      </c>
      <c r="L7">
        <v>10</v>
      </c>
      <c r="M7">
        <v>33</v>
      </c>
      <c r="N7">
        <v>35</v>
      </c>
      <c r="O7" s="27"/>
      <c r="Q7" s="5">
        <v>1.7</v>
      </c>
      <c r="R7" s="5">
        <v>1.7</v>
      </c>
      <c r="T7">
        <v>36</v>
      </c>
      <c r="U7">
        <v>35</v>
      </c>
      <c r="V7">
        <v>0</v>
      </c>
      <c r="W7" s="25"/>
    </row>
    <row r="8" spans="1:23" x14ac:dyDescent="0.25">
      <c r="A8" s="5">
        <v>7</v>
      </c>
      <c r="B8" s="6">
        <v>3.4</v>
      </c>
      <c r="C8" s="6">
        <v>1.5</v>
      </c>
      <c r="E8" s="6">
        <v>0.4</v>
      </c>
      <c r="F8" s="6" t="s">
        <v>5</v>
      </c>
      <c r="G8" s="6" t="s">
        <v>5</v>
      </c>
      <c r="I8">
        <f t="shared" ref="I8:I32" si="2">AVERAGE(J8,J10)</f>
        <v>2.5499999999999998</v>
      </c>
      <c r="J8">
        <v>2.5</v>
      </c>
      <c r="K8" t="s">
        <v>9</v>
      </c>
      <c r="L8">
        <f>COUNTIFS(B2:B84, "&lt;2.55", F2:F84,"Iris-setosa")</f>
        <v>0</v>
      </c>
      <c r="M8">
        <f>COUNTIFS(B2:B84, "&lt;2.5", F2:F84,"Iris-versicolor")</f>
        <v>5</v>
      </c>
      <c r="N8">
        <f>COUNTIFS(B2:B84, "&lt;2.5", F2:F84,"Iris-virginica")</f>
        <v>1</v>
      </c>
      <c r="O8" s="27">
        <f t="shared" ref="O8" si="3">(1-POWER(L8/SUM(L8,M8,N8),2)-POWER(M8/SUM(L8,M8,N8),2)-POWER(N8/SUM(L8,M8,N8),2))*SUM(L8,M8,N8)/83+(1-POWER(L9/SUM(L9,M9,N9),2)-POWER(M9/SUM(L9,M9,N9),2)-POWER(N9/SUM(L9,M9,N9),2))*SUM(L9,M9,N9)/83</f>
        <v>0.58024305012256827</v>
      </c>
      <c r="Q8" s="6"/>
      <c r="R8" s="6"/>
      <c r="S8" s="3">
        <v>3.5</v>
      </c>
      <c r="T8">
        <f>COUNTIFS(Q2:Q84, "&lt;3.5", F2:F84,"Iris-versicolor")</f>
        <v>2</v>
      </c>
      <c r="U8">
        <f>COUNTIFS(Q2:Q84, "&lt;3.5", F2:F84,"Iris-virginica")</f>
        <v>0</v>
      </c>
      <c r="V8">
        <f>COUNTIFS(R2:R84, "&lt;3.5", G2:G84,"Iris-setosa")</f>
        <v>3</v>
      </c>
      <c r="W8" s="25">
        <f t="shared" ref="W8" si="4">(1-POWER(T8/SUM(T8,U8,V8),2)-POWER(U8/SUM(T8,U8,V8),2)-POWER(V8/SUM(T8,U8,V8),2))*SUM(T8,U8,V8)/74 + (1-POWER(T9/SUM(T9,U9,V9),2)-POWER(U9/SUM(T9,U9,V9),2)-POWER(V9/SUM(T9,U9,V9),2))*SUM(T9,U9,V9)/74</f>
        <v>0.49855072463768119</v>
      </c>
    </row>
    <row r="9" spans="1:23" x14ac:dyDescent="0.25">
      <c r="A9">
        <v>6.4</v>
      </c>
      <c r="B9">
        <v>3</v>
      </c>
      <c r="C9">
        <v>4.5</v>
      </c>
      <c r="E9">
        <v>1.5</v>
      </c>
      <c r="F9" t="s">
        <v>6</v>
      </c>
      <c r="G9" t="s">
        <v>6</v>
      </c>
      <c r="K9" t="s">
        <v>10</v>
      </c>
      <c r="L9">
        <v>10</v>
      </c>
      <c r="M9">
        <v>32</v>
      </c>
      <c r="N9">
        <v>35</v>
      </c>
      <c r="O9" s="27"/>
      <c r="Q9">
        <v>4.5</v>
      </c>
      <c r="R9">
        <v>4.5</v>
      </c>
      <c r="T9">
        <v>34</v>
      </c>
      <c r="U9">
        <v>35</v>
      </c>
      <c r="V9">
        <v>0</v>
      </c>
      <c r="W9" s="25"/>
    </row>
    <row r="10" spans="1:23" x14ac:dyDescent="0.25">
      <c r="A10" s="5">
        <v>6.9</v>
      </c>
      <c r="B10" s="6">
        <v>4.2</v>
      </c>
      <c r="C10" s="6">
        <v>1.4</v>
      </c>
      <c r="E10" s="6">
        <v>0.2</v>
      </c>
      <c r="F10" s="6" t="s">
        <v>5</v>
      </c>
      <c r="G10" s="6" t="s">
        <v>5</v>
      </c>
      <c r="I10">
        <f t="shared" si="2"/>
        <v>2.6500000000000004</v>
      </c>
      <c r="J10">
        <v>2.6</v>
      </c>
      <c r="K10" t="s">
        <v>9</v>
      </c>
      <c r="L10">
        <f>COUNTIFS(B2:B84, "&lt;2.65", F2:F84,"Iris-setosa")</f>
        <v>0</v>
      </c>
      <c r="M10">
        <f>COUNTIFS(B2:B84, "&lt;2.5", F2:F84,"Iris-versicolor")</f>
        <v>5</v>
      </c>
      <c r="N10">
        <f>COUNTIFS(B2:B84, "&lt;2.5", F2:F84,"Iris-virginica")</f>
        <v>1</v>
      </c>
      <c r="O10" s="27">
        <f t="shared" ref="O10" si="5">(1-POWER(L10/SUM(L10,M10,N10),2)-POWER(M10/SUM(L10,M10,N10),2)-POWER(N10/SUM(L10,M10,N10),2))*SUM(L10,M10,N10)/83+(1-POWER(L11/SUM(L11,M11,N11),2)-POWER(M11/SUM(L11,M11,N11),2)-POWER(N11/SUM(L11,M11,N11),2))*SUM(L11,M11,N11)/83</f>
        <v>0.58024305012256827</v>
      </c>
      <c r="Q10" s="6"/>
      <c r="R10" s="6"/>
      <c r="S10" s="3">
        <v>3.9</v>
      </c>
      <c r="T10">
        <f>COUNTIFS(Q2:Q84, "&lt;3.9", F2:F84,"Iris-versicolor")</f>
        <v>3</v>
      </c>
      <c r="U10">
        <f>COUNTIFS(Q2:Q84, "&lt;3.9", F2:F84,"Iris-virginica")</f>
        <v>0</v>
      </c>
      <c r="V10">
        <f>COUNTIFS(R2:R84, "&lt;3.9", G2:G84,"Iris-setosa")</f>
        <v>3</v>
      </c>
      <c r="W10" s="25">
        <f t="shared" ref="W10" si="6">(1-POWER(T10/SUM(T10,U10,V10),2)-POWER(U10/SUM(T10,U10,V10),2)-POWER(V10/SUM(T10,U10,V10),2))*SUM(T10,U10,V10)/74 + (1-POWER(T11/SUM(T11,U11,V11),2)-POWER(U11/SUM(T11,U11,V11),2)-POWER(V11/SUM(T11,U11,V11),2))*SUM(T11,U11,V11)/74</f>
        <v>0.49960254372019086</v>
      </c>
    </row>
    <row r="11" spans="1:23" x14ac:dyDescent="0.25">
      <c r="A11" s="5">
        <v>5.5</v>
      </c>
      <c r="B11" s="6">
        <v>3.5</v>
      </c>
      <c r="C11" s="6">
        <v>1.3</v>
      </c>
      <c r="E11" s="6">
        <v>0.2</v>
      </c>
      <c r="F11" s="6" t="s">
        <v>5</v>
      </c>
      <c r="G11" s="6" t="s">
        <v>5</v>
      </c>
      <c r="K11" t="s">
        <v>10</v>
      </c>
      <c r="L11">
        <v>10</v>
      </c>
      <c r="M11">
        <v>32</v>
      </c>
      <c r="N11">
        <v>35</v>
      </c>
      <c r="O11" s="27"/>
      <c r="Q11" s="6"/>
      <c r="R11" s="6"/>
      <c r="T11">
        <v>33</v>
      </c>
      <c r="U11">
        <v>35</v>
      </c>
      <c r="V11">
        <v>0</v>
      </c>
      <c r="W11" s="25"/>
    </row>
    <row r="12" spans="1:23" x14ac:dyDescent="0.25">
      <c r="A12">
        <v>5.6</v>
      </c>
      <c r="B12">
        <v>2.8</v>
      </c>
      <c r="C12">
        <v>4.9000000000000004</v>
      </c>
      <c r="E12">
        <v>2</v>
      </c>
      <c r="F12" t="s">
        <v>7</v>
      </c>
      <c r="G12" t="s">
        <v>7</v>
      </c>
      <c r="I12">
        <f t="shared" si="2"/>
        <v>2.75</v>
      </c>
      <c r="J12">
        <v>2.7</v>
      </c>
      <c r="K12" t="s">
        <v>9</v>
      </c>
      <c r="L12">
        <f>COUNTIFS(B2:B84, "&lt;2.7", F2:F84,"Iris-setosa")</f>
        <v>0</v>
      </c>
      <c r="M12">
        <f>COUNTIFS(B2:B84, "&lt;2.7", F2:F84,"Iris-versicolor")</f>
        <v>8</v>
      </c>
      <c r="N12">
        <f>COUNTIFS(B2:B84, "&lt;2.7", F2:F84,"Iris-virginica")</f>
        <v>5</v>
      </c>
      <c r="O12" s="27">
        <f t="shared" ref="O12" si="7">(1-POWER(L12/SUM(L12,M12,N12),2)-POWER(M12/SUM(L12,M12,N12),2)-POWER(N12/SUM(L12,M12,N12),2))*SUM(L12,M12,N12)/83+(1-POWER(L13/SUM(L13,M13,N13),2)-POWER(M13/SUM(L13,M13,N13),2)-POWER(N13/SUM(L13,M13,N13),2))*SUM(L13,M13,N13)/83</f>
        <v>0.59014960942671779</v>
      </c>
      <c r="Q12">
        <v>4.9000000000000004</v>
      </c>
      <c r="R12">
        <v>4.9000000000000004</v>
      </c>
      <c r="S12" s="3">
        <v>4</v>
      </c>
      <c r="T12">
        <f>COUNTIFS(Q2:Q84, "&lt;4", F2:F84,"Iris-versicolor")</f>
        <v>4</v>
      </c>
      <c r="U12">
        <f>COUNTIFS(Q2:Q84, "&lt;4", F2:F84,"Iris-virginica")</f>
        <v>0</v>
      </c>
      <c r="V12">
        <f>COUNTIFS(R2:R84, "&lt;4", G2:G84,"Iris-setosa")</f>
        <v>3</v>
      </c>
      <c r="W12" s="25">
        <f t="shared" ref="W12" si="8">(1-POWER(T12/SUM(T12,U12,V12),2)-POWER(U12/SUM(T12,U12,V12),2)-POWER(V12/SUM(T12,U12,V12),2))*SUM(T12,U12,V12)/74 + (1-POWER(T13/SUM(T13,U13,V13),2)-POWER(U13/SUM(T13,U13,V13),2)-POWER(V13/SUM(T13,U13,V13),2))*SUM(T13,U13,V13)/74</f>
        <v>0.49812712499279671</v>
      </c>
    </row>
    <row r="13" spans="1:23" x14ac:dyDescent="0.25">
      <c r="A13" s="5">
        <v>6.7</v>
      </c>
      <c r="B13" s="6">
        <v>4.4000000000000004</v>
      </c>
      <c r="C13" s="6">
        <v>1.5</v>
      </c>
      <c r="E13" s="6">
        <v>0.4</v>
      </c>
      <c r="F13" s="6" t="s">
        <v>5</v>
      </c>
      <c r="G13" s="6" t="s">
        <v>5</v>
      </c>
      <c r="K13" t="s">
        <v>10</v>
      </c>
      <c r="L13">
        <v>10</v>
      </c>
      <c r="M13">
        <v>29</v>
      </c>
      <c r="N13">
        <v>31</v>
      </c>
      <c r="O13" s="27"/>
      <c r="Q13" s="6"/>
      <c r="R13" s="6"/>
      <c r="T13">
        <v>32</v>
      </c>
      <c r="U13">
        <v>35</v>
      </c>
      <c r="V13">
        <v>0</v>
      </c>
      <c r="W13" s="25"/>
    </row>
    <row r="14" spans="1:23" x14ac:dyDescent="0.25">
      <c r="A14" s="5">
        <v>5.6</v>
      </c>
      <c r="B14" s="6">
        <v>3.8</v>
      </c>
      <c r="C14" s="6">
        <v>1.7</v>
      </c>
      <c r="E14" s="6">
        <v>0.3</v>
      </c>
      <c r="F14" s="6" t="s">
        <v>5</v>
      </c>
      <c r="G14" s="6" t="s">
        <v>5</v>
      </c>
      <c r="I14">
        <f t="shared" si="2"/>
        <v>2.8499999999999996</v>
      </c>
      <c r="J14">
        <v>2.8</v>
      </c>
      <c r="K14" t="s">
        <v>9</v>
      </c>
      <c r="L14">
        <f>COUNTIFS(B2:B84, "&lt;2.8", F2:F84,"Iris-setosa")</f>
        <v>0</v>
      </c>
      <c r="M14">
        <f>COUNTIFS(B2:B84, "&lt;2.8", F2:F84,"Iris-versicolor")</f>
        <v>11</v>
      </c>
      <c r="N14">
        <f>COUNTIFS(B2:B84, "&lt;2.8", F2:F84,"Iris-virginica")</f>
        <v>9</v>
      </c>
      <c r="O14" s="27">
        <f t="shared" ref="O14" si="9">(1-POWER(L14/SUM(L14,M14,N14),2)-POWER(M14/SUM(L14,M14,N14),2)-POWER(N14/SUM(L14,M14,N14),2))*SUM(L14,M14,N14)/83+(1-POWER(L15/SUM(L15,M15,N15),2)-POWER(M15/SUM(L15,M15,N15),2)-POWER(N15/SUM(L15,M15,N15),2))*SUM(L15,M15,N15)/83</f>
        <v>0.59049531459170013</v>
      </c>
      <c r="Q14" s="6"/>
      <c r="R14" s="6"/>
      <c r="S14" s="3">
        <v>4.0999999999999996</v>
      </c>
      <c r="T14">
        <f>COUNTIFS(Q2:Q84, "&lt;4.1", F2:F84,"Iris-versicolor")</f>
        <v>7</v>
      </c>
      <c r="U14">
        <f>COUNTIFS(Q2:Q84, "&lt;4.1", F2:F84,"Iris-virginica")</f>
        <v>0</v>
      </c>
      <c r="V14">
        <f>COUNTIFS(R2:R84, "&lt;4.1", G2:G84,"Iris-setosa")</f>
        <v>3</v>
      </c>
      <c r="W14" s="25">
        <f t="shared" ref="W14" si="10">(1-POWER(T14/SUM(T14,U14,V14),2)-POWER(U14/SUM(T14,U14,V14),2)-POWER(V14/SUM(T14,U14,V14),2))*SUM(T14,U14,V14)/74 + (1-POWER(T15/SUM(T15,U15,V15),2)-POWER(U15/SUM(T15,U15,V15),2)-POWER(V15/SUM(T15,U15,V15),2))*SUM(T15,U15,V15)/74</f>
        <v>0.48538851351351353</v>
      </c>
    </row>
    <row r="15" spans="1:23" x14ac:dyDescent="0.25">
      <c r="A15">
        <v>5.8</v>
      </c>
      <c r="B15">
        <v>2.8</v>
      </c>
      <c r="C15">
        <v>4.5</v>
      </c>
      <c r="E15">
        <v>1.3</v>
      </c>
      <c r="F15" t="s">
        <v>6</v>
      </c>
      <c r="G15" t="s">
        <v>6</v>
      </c>
      <c r="K15" t="s">
        <v>10</v>
      </c>
      <c r="L15">
        <v>10</v>
      </c>
      <c r="M15">
        <v>26</v>
      </c>
      <c r="N15">
        <v>27</v>
      </c>
      <c r="O15" s="27"/>
      <c r="Q15">
        <v>4.5</v>
      </c>
      <c r="R15">
        <v>4.5</v>
      </c>
      <c r="T15">
        <v>29</v>
      </c>
      <c r="U15">
        <v>35</v>
      </c>
      <c r="V15">
        <v>0</v>
      </c>
      <c r="W15" s="25"/>
    </row>
    <row r="16" spans="1:23" x14ac:dyDescent="0.25">
      <c r="A16">
        <v>6.2</v>
      </c>
      <c r="B16">
        <v>2.6</v>
      </c>
      <c r="C16">
        <v>3.5</v>
      </c>
      <c r="E16">
        <v>1</v>
      </c>
      <c r="F16" t="s">
        <v>6</v>
      </c>
      <c r="G16" t="s">
        <v>6</v>
      </c>
      <c r="I16">
        <f t="shared" si="2"/>
        <v>2.95</v>
      </c>
      <c r="J16">
        <v>2.9</v>
      </c>
      <c r="K16" t="s">
        <v>9</v>
      </c>
      <c r="L16">
        <f>COUNTIFS(B2:B84, "&lt;2.9", F2:F84,"Iris-setosa")</f>
        <v>0</v>
      </c>
      <c r="M16">
        <f>COUNTIFS(B2:B84, "&lt;2.9", F2:F84,"Iris-versicolor")</f>
        <v>17</v>
      </c>
      <c r="N16">
        <f>COUNTIFS(B2:B84, "&lt;2.9", F2:F84,"Iris-virginica")</f>
        <v>15</v>
      </c>
      <c r="O16" s="27">
        <f t="shared" ref="O16" si="11">(1-POWER(L16/SUM(L16,M16,N16),2)-POWER(M16/SUM(L16,M16,N16),2)-POWER(N16/SUM(L16,M16,N16),2))*SUM(L16,M16,N16)/83+(1-POWER(L17/SUM(L17,M17,N17),2)-POWER(M17/SUM(L17,M17,N17),2)-POWER(N17/SUM(L17,M17,N17),2))*SUM(L17,M17,N17)/83</f>
        <v>0.58417493503425466</v>
      </c>
      <c r="Q16">
        <v>3.5</v>
      </c>
      <c r="R16">
        <v>3.5</v>
      </c>
      <c r="S16" s="3">
        <v>4.2</v>
      </c>
      <c r="T16">
        <f>COUNTIFS(Q2:Q84, "&lt;4.2", F2:F84,"Iris-versicolor")</f>
        <v>9</v>
      </c>
      <c r="U16">
        <f>COUNTIFS(Q2:Q84, "&lt;4.2", F2:F84,"Iris-virginica")</f>
        <v>0</v>
      </c>
      <c r="V16">
        <f>COUNTIFS(R2:R84, "&lt;4.2", G2:G84,"Iris-setosa")</f>
        <v>3</v>
      </c>
      <c r="W16" s="25">
        <f t="shared" ref="W16" si="12">(1-POWER(T16/SUM(T16,U16,V16),2)-POWER(U16/SUM(T16,U16,V16),2)-POWER(V16/SUM(T16,U16,V16),2))*SUM(T16,U16,V16)/74 + (1-POWER(T17/SUM(T17,U17,V17),2)-POWER(U17/SUM(T17,U17,V17),2)-POWER(V17/SUM(T17,U17,V17),2))*SUM(T17,U17,V17)/74</f>
        <v>0.4727550130775936</v>
      </c>
    </row>
    <row r="17" spans="1:23" x14ac:dyDescent="0.25">
      <c r="A17">
        <v>5.6</v>
      </c>
      <c r="B17">
        <v>3</v>
      </c>
      <c r="C17">
        <v>4.2</v>
      </c>
      <c r="E17">
        <v>1.2</v>
      </c>
      <c r="F17" t="s">
        <v>6</v>
      </c>
      <c r="G17" t="s">
        <v>6</v>
      </c>
      <c r="K17" t="s">
        <v>10</v>
      </c>
      <c r="L17">
        <v>10</v>
      </c>
      <c r="M17">
        <v>20</v>
      </c>
      <c r="N17">
        <v>21</v>
      </c>
      <c r="O17" s="27"/>
      <c r="Q17">
        <v>4.2</v>
      </c>
      <c r="R17">
        <v>4.2</v>
      </c>
      <c r="T17">
        <v>27</v>
      </c>
      <c r="U17">
        <v>35</v>
      </c>
      <c r="V17">
        <v>0</v>
      </c>
      <c r="W17" s="25"/>
    </row>
    <row r="18" spans="1:23" x14ac:dyDescent="0.25">
      <c r="A18">
        <v>5.9</v>
      </c>
      <c r="B18">
        <v>2.9</v>
      </c>
      <c r="C18">
        <v>4.2</v>
      </c>
      <c r="E18">
        <v>1.3</v>
      </c>
      <c r="F18" t="s">
        <v>6</v>
      </c>
      <c r="G18" t="s">
        <v>6</v>
      </c>
      <c r="I18">
        <f t="shared" si="2"/>
        <v>3.05</v>
      </c>
      <c r="J18">
        <v>3</v>
      </c>
      <c r="K18" t="s">
        <v>9</v>
      </c>
      <c r="L18">
        <f>COUNTIFS(B2:B84, "&lt;3", F2:F84,"Iris-setosa")</f>
        <v>0</v>
      </c>
      <c r="M18">
        <f>COUNTIFS(B2:B84, "&lt;3", F2:F84,"Iris-versicolor")</f>
        <v>23</v>
      </c>
      <c r="N18">
        <f>COUNTIFS(B2:B84, "&lt;3", F2:F84,"Iris-virginica")</f>
        <v>16</v>
      </c>
      <c r="O18" s="27">
        <f t="shared" ref="O18" si="13">(1-POWER(L18/SUM(L18,M18,N18),2)-POWER(M18/SUM(L18,M18,N18),2)-POWER(N18/SUM(L18,M18,N18),2))*SUM(L18,M18,N18)/83+(1-POWER(L19/SUM(L19,M19,N19),2)-POWER(M19/SUM(L19,M19,N19),2)-POWER(N19/SUM(L19,M19,N19),2))*SUM(L19,M19,N19)/83</f>
        <v>0.56691100064594036</v>
      </c>
      <c r="Q18">
        <v>4.2</v>
      </c>
      <c r="R18">
        <v>4.2</v>
      </c>
      <c r="S18" s="3">
        <v>4.3</v>
      </c>
      <c r="T18">
        <f>COUNTIFS(Q2:Q84, "&lt;4.3", F2:F84,"Iris-versicolor")</f>
        <v>12</v>
      </c>
      <c r="U18">
        <f>COUNTIFS(Q2:Q84, "&lt;4.3", F2:F84,"Iris-virginica")</f>
        <v>0</v>
      </c>
      <c r="V18">
        <f>COUNTIFS(R2:R84, "&lt;4.3", G2:G84,"Iris-setosa")</f>
        <v>3</v>
      </c>
      <c r="W18" s="25">
        <f t="shared" ref="W18" si="14">(1-POWER(T18/SUM(T18,U18,V18),2)-POWER(U18/SUM(T18,U18,V18),2)-POWER(V18/SUM(T18,U18,V18),2))*SUM(T18,U18,V18)/74 + (1-POWER(T19/SUM(T19,U19,V19),2)-POWER(U19/SUM(T19,U19,V19),2)-POWER(V19/SUM(T19,U19,V19),2))*SUM(T19,U19,V19)/74</f>
        <v>0.44965643609711398</v>
      </c>
    </row>
    <row r="19" spans="1:23" x14ac:dyDescent="0.25">
      <c r="A19">
        <v>6.1</v>
      </c>
      <c r="B19">
        <v>2.8</v>
      </c>
      <c r="C19">
        <v>4.0999999999999996</v>
      </c>
      <c r="E19">
        <v>1.3</v>
      </c>
      <c r="F19" t="s">
        <v>6</v>
      </c>
      <c r="G19" t="s">
        <v>6</v>
      </c>
      <c r="K19" t="s">
        <v>10</v>
      </c>
      <c r="L19">
        <v>10</v>
      </c>
      <c r="M19">
        <v>14</v>
      </c>
      <c r="N19">
        <v>20</v>
      </c>
      <c r="O19" s="27"/>
      <c r="Q19">
        <v>4.0999999999999996</v>
      </c>
      <c r="R19">
        <v>4.0999999999999996</v>
      </c>
      <c r="T19">
        <v>24</v>
      </c>
      <c r="U19">
        <v>35</v>
      </c>
      <c r="V19">
        <v>0</v>
      </c>
      <c r="W19" s="25"/>
    </row>
    <row r="20" spans="1:23" x14ac:dyDescent="0.25">
      <c r="A20">
        <v>6.3</v>
      </c>
      <c r="B20">
        <v>2.5</v>
      </c>
      <c r="C20">
        <v>5</v>
      </c>
      <c r="E20">
        <v>2</v>
      </c>
      <c r="F20" t="s">
        <v>7</v>
      </c>
      <c r="G20" t="s">
        <v>7</v>
      </c>
      <c r="I20">
        <f t="shared" si="2"/>
        <v>3.1500000000000004</v>
      </c>
      <c r="J20">
        <v>3.1</v>
      </c>
      <c r="K20" t="s">
        <v>9</v>
      </c>
      <c r="L20">
        <f>COUNTIFS(B2:B84, "&lt;3.1", F2:F84,"Iris-setosa")</f>
        <v>0</v>
      </c>
      <c r="M20">
        <f>COUNTIFS(B2:B84, "&lt;3.1", F2:F84,"Iris-versicolor")</f>
        <v>29</v>
      </c>
      <c r="N20">
        <f>COUNTIFS(B2:B84, "&lt;3.1", F2:F84,"Iris-virginica")</f>
        <v>24</v>
      </c>
      <c r="O20" s="27">
        <f t="shared" ref="O20" si="15">(1-POWER(L20/SUM(L20,M20,N20),2)-POWER(M20/SUM(L20,M20,N20),2)-POWER(N20/SUM(L20,M20,N20),2))*SUM(L20,M20,N20)/83+(1-POWER(L21/SUM(L21,M21,N21),2)-POWER(M21/SUM(L21,M21,N21),2)-POWER(N21/SUM(L21,M21,N21),2))*SUM(L21,M21,N21)/83</f>
        <v>0.55418655755095858</v>
      </c>
      <c r="Q20">
        <v>5</v>
      </c>
      <c r="R20">
        <v>5</v>
      </c>
      <c r="S20" s="3">
        <v>4.4000000000000004</v>
      </c>
      <c r="T20">
        <f>COUNTIFS(Q2:Q84, "&lt;4.4", F2:F84,"Iris-versicolor")</f>
        <v>14</v>
      </c>
      <c r="U20">
        <f>COUNTIFS(Q2:Q84, "&lt;4.4", F2:F84,"Iris-virginica")</f>
        <v>0</v>
      </c>
      <c r="V20">
        <f>COUNTIFS(R2:R84, "&lt;4.4", G2:G84,"Iris-setosa")</f>
        <v>3</v>
      </c>
      <c r="W20" s="25">
        <f t="shared" ref="W20" si="16">(1-POWER(T20/SUM(T20,U20,V20),2)-POWER(U20/SUM(T20,U20,V20),2)-POWER(V20/SUM(T20,U20,V20),2))*SUM(T20,U20,V20)/74 + (1-POWER(T21/SUM(T21,U21,V21),2)-POWER(U21/SUM(T21,U21,V21),2)-POWER(V21/SUM(T21,U21,V21),2))*SUM(T21,U21,V21)/74</f>
        <v>0.43187459905726155</v>
      </c>
    </row>
    <row r="21" spans="1:23" x14ac:dyDescent="0.25">
      <c r="A21" s="5">
        <v>6.1</v>
      </c>
      <c r="B21" s="6">
        <v>4</v>
      </c>
      <c r="C21" s="6">
        <v>1.2</v>
      </c>
      <c r="E21" s="6">
        <v>0.2</v>
      </c>
      <c r="F21" s="6" t="s">
        <v>5</v>
      </c>
      <c r="G21" s="6" t="s">
        <v>5</v>
      </c>
      <c r="K21" t="s">
        <v>10</v>
      </c>
      <c r="L21">
        <v>10</v>
      </c>
      <c r="M21">
        <v>8</v>
      </c>
      <c r="N21">
        <v>12</v>
      </c>
      <c r="O21" s="27"/>
      <c r="Q21" s="6"/>
      <c r="R21" s="6"/>
      <c r="T21">
        <v>22</v>
      </c>
      <c r="U21">
        <v>35</v>
      </c>
      <c r="V21">
        <v>0</v>
      </c>
      <c r="W21" s="25"/>
    </row>
    <row r="22" spans="1:23" x14ac:dyDescent="0.25">
      <c r="A22">
        <v>6.4</v>
      </c>
      <c r="B22">
        <v>2.7</v>
      </c>
      <c r="C22">
        <v>4.0999999999999996</v>
      </c>
      <c r="E22">
        <v>1</v>
      </c>
      <c r="F22" t="s">
        <v>6</v>
      </c>
      <c r="G22" t="s">
        <v>6</v>
      </c>
      <c r="I22">
        <f t="shared" si="2"/>
        <v>3.25</v>
      </c>
      <c r="J22">
        <v>3.2</v>
      </c>
      <c r="K22" t="s">
        <v>9</v>
      </c>
      <c r="L22">
        <f>COUNTIFS(B2:B84, "&lt;3.2", F2:F84,"Iris-setosa")</f>
        <v>2</v>
      </c>
      <c r="M22">
        <f>COUNTIFS(B2:B84, "&lt;3.2", F2:F84,"Iris-versicolor")</f>
        <v>32</v>
      </c>
      <c r="N22">
        <f>COUNTIFS(B2:B84, "&lt;3.2", F2:F84,"Iris-virginica")</f>
        <v>28</v>
      </c>
      <c r="O22" s="27">
        <f t="shared" ref="O22" si="17">(1-POWER(L22/SUM(L22,M22,N22),2)-POWER(M22/SUM(L22,M22,N22),2)-POWER(N22/SUM(L22,M22,N22),2))*SUM(L22,M22,N22)/83+(1-POWER(L23/SUM(L23,M23,N23),2)-POWER(M23/SUM(L23,M23,N23),2)-POWER(N23/SUM(L23,M23,N23),2))*SUM(L23,M23,N23)/83</f>
        <v>0.56010215979123867</v>
      </c>
      <c r="Q22">
        <v>4.0999999999999996</v>
      </c>
      <c r="R22">
        <v>4.0999999999999996</v>
      </c>
      <c r="S22" s="3">
        <v>4.5</v>
      </c>
      <c r="T22">
        <f>COUNTIFS(Q2:Q84, "&lt;4.5", F2:F84,"Iris-versicolor")</f>
        <v>17</v>
      </c>
      <c r="U22">
        <f>COUNTIFS(Q2:Q84, "&lt;4.5", F2:F84,"Iris-virginica")</f>
        <v>0</v>
      </c>
      <c r="V22">
        <f>COUNTIFS(R2:R84, "&lt;4.5", G2:G84,"Iris-setosa")</f>
        <v>3</v>
      </c>
      <c r="W22" s="25">
        <f t="shared" ref="W22" si="18">(1-POWER(T22/SUM(T22,U22,V22),2)-POWER(U22/SUM(T22,U22,V22),2)-POWER(V22/SUM(T22,U22,V22),2))*SUM(T22,U22,V22)/74 + (1-POWER(T23/SUM(T23,U23,V23),2)-POWER(U23/SUM(T23,U23,V23),2)-POWER(V23/SUM(T23,U23,V23),2))*SUM(T23,U23,V23)/74</f>
        <v>0.40175175175175182</v>
      </c>
    </row>
    <row r="23" spans="1:23" x14ac:dyDescent="0.25">
      <c r="A23">
        <v>6.6</v>
      </c>
      <c r="B23">
        <v>2.7</v>
      </c>
      <c r="C23">
        <v>3.9</v>
      </c>
      <c r="E23">
        <v>1.2</v>
      </c>
      <c r="F23" t="s">
        <v>6</v>
      </c>
      <c r="G23" t="s">
        <v>6</v>
      </c>
      <c r="K23" t="s">
        <v>10</v>
      </c>
      <c r="L23">
        <v>8</v>
      </c>
      <c r="M23">
        <v>5</v>
      </c>
      <c r="N23">
        <v>8</v>
      </c>
      <c r="O23" s="27"/>
      <c r="Q23">
        <v>3.9</v>
      </c>
      <c r="R23">
        <v>3.9</v>
      </c>
      <c r="T23">
        <v>19</v>
      </c>
      <c r="U23">
        <v>35</v>
      </c>
      <c r="V23">
        <v>0</v>
      </c>
      <c r="W23" s="25"/>
    </row>
    <row r="24" spans="1:23" x14ac:dyDescent="0.25">
      <c r="A24">
        <v>6.8</v>
      </c>
      <c r="B24">
        <v>2.6</v>
      </c>
      <c r="C24">
        <v>4</v>
      </c>
      <c r="E24">
        <v>1.2</v>
      </c>
      <c r="F24" t="s">
        <v>6</v>
      </c>
      <c r="G24" t="s">
        <v>6</v>
      </c>
      <c r="I24">
        <f t="shared" si="2"/>
        <v>3.3499999999999996</v>
      </c>
      <c r="J24">
        <v>3.3</v>
      </c>
      <c r="K24" t="s">
        <v>9</v>
      </c>
      <c r="L24">
        <f>COUNTIFS(B2:B84, "&lt;3.3", F2:F84,"Iris-setosa")</f>
        <v>2</v>
      </c>
      <c r="M24">
        <f>COUNTIFS(B2:B84, "&lt;3.3", F2:F84,"Iris-versicolor")</f>
        <v>35</v>
      </c>
      <c r="N24">
        <f>COUNTIFS(B2:B84, "&lt;3.3", F2:F84,"Iris-virginica")</f>
        <v>32</v>
      </c>
      <c r="O24" s="27">
        <f t="shared" ref="O24" si="19">(1-POWER(L24/SUM(L24,M24,N24),2)-POWER(M24/SUM(L24,M24,N24),2)-POWER(N24/SUM(L24,M24,N24),2))*SUM(L24,M24,N24)/83+(1-POWER(L25/SUM(L25,M25,N25),2)-POWER(M25/SUM(L25,M25,N25),2)-POWER(N25/SUM(L25,M25,N25),2))*SUM(L25,M25,N25)/83</f>
        <v>0.53431115767417492</v>
      </c>
      <c r="Q24">
        <v>4</v>
      </c>
      <c r="R24">
        <v>4</v>
      </c>
      <c r="S24" s="3">
        <v>4.5999999999999996</v>
      </c>
      <c r="T24">
        <f>COUNTIFS(Q2:Q84, "&lt;4.6", F2:F84,"Iris-versicolor")</f>
        <v>22</v>
      </c>
      <c r="U24">
        <f>COUNTIFS(Q2:Q84, "&lt;4.6", F2:F84,"Iris-virginica")</f>
        <v>0</v>
      </c>
      <c r="V24">
        <f>COUNTIFS(R2:R84, "&lt;4.6", G2:G84,"Iris-setosa")</f>
        <v>3</v>
      </c>
      <c r="W24" s="25">
        <f t="shared" ref="W24" si="20">(1-POWER(T24/SUM(T24,U24,V24),2)-POWER(U24/SUM(T24,U24,V24),2)-POWER(V24/SUM(T24,U24,V24),2))*SUM(T24,U24,V24)/74 + (1-POWER(T25/SUM(T25,U25,V25),2)-POWER(U25/SUM(T25,U25,V25),2)-POWER(V25/SUM(T25,U25,V25),2))*SUM(T25,U25,V25)/74</f>
        <v>0.34162162162162163</v>
      </c>
    </row>
    <row r="25" spans="1:23" x14ac:dyDescent="0.25">
      <c r="A25">
        <v>6.7</v>
      </c>
      <c r="B25">
        <v>2.7</v>
      </c>
      <c r="C25">
        <v>5.0999999999999996</v>
      </c>
      <c r="E25">
        <v>1.9</v>
      </c>
      <c r="F25" t="s">
        <v>7</v>
      </c>
      <c r="G25" t="s">
        <v>7</v>
      </c>
      <c r="K25" t="s">
        <v>10</v>
      </c>
      <c r="L25">
        <v>8</v>
      </c>
      <c r="M25">
        <v>2</v>
      </c>
      <c r="N25">
        <v>4</v>
      </c>
      <c r="O25" s="27"/>
      <c r="Q25">
        <v>5.0999999999999996</v>
      </c>
      <c r="R25">
        <v>5.0999999999999996</v>
      </c>
      <c r="T25">
        <v>14</v>
      </c>
      <c r="U25">
        <v>35</v>
      </c>
      <c r="V25">
        <v>0</v>
      </c>
      <c r="W25" s="25"/>
    </row>
    <row r="26" spans="1:23" x14ac:dyDescent="0.25">
      <c r="A26">
        <v>6</v>
      </c>
      <c r="B26">
        <v>2.8</v>
      </c>
      <c r="C26">
        <v>5.0999999999999996</v>
      </c>
      <c r="E26">
        <v>2.4</v>
      </c>
      <c r="F26" t="s">
        <v>7</v>
      </c>
      <c r="G26" t="s">
        <v>7</v>
      </c>
      <c r="I26">
        <f t="shared" si="2"/>
        <v>3.45</v>
      </c>
      <c r="J26" s="1">
        <v>3.4</v>
      </c>
      <c r="K26" s="1" t="s">
        <v>9</v>
      </c>
      <c r="L26" s="1">
        <f>COUNTIFS(B2:B84, "&lt;3.4", F2:F84,"Iris-setosa")</f>
        <v>3</v>
      </c>
      <c r="M26" s="1">
        <f>COUNTIFS(B2:B84, "&lt;3.4", F2:F84,"Iris-versicolor")</f>
        <v>36</v>
      </c>
      <c r="N26" s="1">
        <f>COUNTIFS(B2:B84, "&lt;3.4", F2:F84,"Iris-virginica")</f>
        <v>35</v>
      </c>
      <c r="O26" s="28">
        <f t="shared" ref="O26" si="21">(1-POWER(L26/SUM(L26,M26,N26),2)-POWER(M26/SUM(L26,M26,N26),2)-POWER(N26/SUM(L26,M26,N26),2))*SUM(L26,M26,N26)/83+(1-POWER(L27/SUM(L27,M27,N27),2)-POWER(M27/SUM(L27,M27,N27),2)-POWER(N27/SUM(L27,M27,N27),2))*SUM(L27,M27,N27)/83</f>
        <v>0.5198089655920981</v>
      </c>
      <c r="Q26">
        <v>5.0999999999999996</v>
      </c>
      <c r="R26">
        <v>5.0999999999999996</v>
      </c>
      <c r="S26" s="3">
        <v>4.7</v>
      </c>
      <c r="T26">
        <f>COUNTIFS(Q2:Q84, "&lt;4.7", F2:F84,"Iris-versicolor")</f>
        <v>25</v>
      </c>
      <c r="U26">
        <f>COUNTIFS(Q2:Q84, "&lt;4.7", F2:F84,"Iris-virginica")</f>
        <v>0</v>
      </c>
      <c r="V26">
        <f>COUNTIFS(R2:R84, "&lt;4.7", G2:G84,"Iris-setosa")</f>
        <v>3</v>
      </c>
      <c r="W26" s="25">
        <f t="shared" ref="W26" si="22">(1-POWER(T26/SUM(T26,U26,V26),2)-POWER(U26/SUM(T26,U26,V26),2)-POWER(V26/SUM(T26,U26,V26),2))*SUM(T26,U26,V26)/74 + (1-POWER(T27/SUM(T27,U27,V27),2)-POWER(U27/SUM(T27,U27,V27),2)-POWER(V27/SUM(T27,U27,V27),2))*SUM(T27,U27,V27)/74</f>
        <v>0.29859828772872243</v>
      </c>
    </row>
    <row r="27" spans="1:23" x14ac:dyDescent="0.25">
      <c r="A27">
        <v>5.7</v>
      </c>
      <c r="B27">
        <v>2.7</v>
      </c>
      <c r="C27">
        <v>5.0999999999999996</v>
      </c>
      <c r="E27">
        <v>1.9</v>
      </c>
      <c r="F27" t="s">
        <v>7</v>
      </c>
      <c r="G27" t="s">
        <v>7</v>
      </c>
      <c r="J27" s="1"/>
      <c r="K27" s="1" t="s">
        <v>10</v>
      </c>
      <c r="L27" s="1">
        <v>7</v>
      </c>
      <c r="M27" s="1">
        <v>1</v>
      </c>
      <c r="N27" s="1">
        <v>1</v>
      </c>
      <c r="O27" s="28"/>
      <c r="Q27">
        <v>5.0999999999999996</v>
      </c>
      <c r="R27">
        <v>5.0999999999999996</v>
      </c>
      <c r="T27">
        <v>11</v>
      </c>
      <c r="U27">
        <v>35</v>
      </c>
      <c r="V27">
        <v>0</v>
      </c>
      <c r="W27" s="25"/>
    </row>
    <row r="28" spans="1:23" x14ac:dyDescent="0.25">
      <c r="A28">
        <v>5.5</v>
      </c>
      <c r="B28">
        <v>3</v>
      </c>
      <c r="C28">
        <v>4.2</v>
      </c>
      <c r="E28">
        <v>1.5</v>
      </c>
      <c r="F28" t="s">
        <v>6</v>
      </c>
      <c r="G28" t="s">
        <v>6</v>
      </c>
      <c r="I28">
        <f t="shared" si="2"/>
        <v>3.65</v>
      </c>
      <c r="J28" s="5">
        <v>3.5</v>
      </c>
      <c r="K28" t="s">
        <v>9</v>
      </c>
      <c r="L28">
        <f>COUNTIFS(B2:B84, "&lt;3.5", F2:F84,"Iris-setosa")</f>
        <v>4</v>
      </c>
      <c r="M28">
        <f>COUNTIFS(B2:B84, "&lt;3.5", F2:F84,"Iris-versicolor")</f>
        <v>37</v>
      </c>
      <c r="N28">
        <f>COUNTIFS(B2:B84, "&lt;3.5", F2:F84,"Iris-virginica")</f>
        <v>35</v>
      </c>
      <c r="O28" s="27">
        <f t="shared" ref="O28" si="23">(1-POWER(L28/SUM(L28,M28,N28),2)-POWER(M28/SUM(L28,M28,N28),2)-POWER(N28/SUM(L28,M28,N28),2))*SUM(L28,M28,N28)/83+(1-POWER(L29/SUM(L29,M29,N29),2)-POWER(M29/SUM(L29,M29,N29),2)-POWER(N29/SUM(L29,M29,N29),2))*SUM(L29,M29,N29)/83</f>
        <v>0.52255639097744366</v>
      </c>
      <c r="Q28">
        <v>4.2</v>
      </c>
      <c r="R28">
        <v>4.2</v>
      </c>
      <c r="S28" s="3">
        <v>4.8</v>
      </c>
      <c r="T28">
        <f>COUNTIFS(Q2:Q84, "&lt;4.8", F2:F84,"Iris-versicolor")</f>
        <v>30</v>
      </c>
      <c r="U28">
        <f>COUNTIFS(Q2:Q84, "&lt;4.8", F2:F84,"Iris-virginica")</f>
        <v>0</v>
      </c>
      <c r="V28">
        <f>COUNTIFS(R2:R84, "&lt;4.8", G2:G84,"Iris-setosa")</f>
        <v>3</v>
      </c>
      <c r="W28" s="25">
        <f t="shared" ref="W28" si="24">(1-POWER(T28/SUM(T28,U28,V28),2)-POWER(U28/SUM(T28,U28,V28),2)-POWER(V28/SUM(T28,U28,V28),2))*SUM(T28,U28,V28)/74 + (1-POWER(T29/SUM(T29,U29,V29),2)-POWER(U29/SUM(T29,U29,V29),2)-POWER(V29/SUM(T29,U29,V29),2))*SUM(T29,U29,V29)/74</f>
        <v>0.37047742930095878</v>
      </c>
    </row>
    <row r="29" spans="1:23" x14ac:dyDescent="0.25">
      <c r="A29">
        <v>5.5</v>
      </c>
      <c r="B29">
        <v>3.2</v>
      </c>
      <c r="C29">
        <v>4.8</v>
      </c>
      <c r="E29">
        <v>1.8</v>
      </c>
      <c r="F29" t="s">
        <v>6</v>
      </c>
      <c r="G29" t="s">
        <v>6</v>
      </c>
      <c r="K29" t="s">
        <v>10</v>
      </c>
      <c r="L29">
        <v>6</v>
      </c>
      <c r="M29">
        <v>0</v>
      </c>
      <c r="N29">
        <v>1</v>
      </c>
      <c r="O29" s="27"/>
      <c r="Q29">
        <v>4.8</v>
      </c>
      <c r="R29">
        <v>4.8</v>
      </c>
      <c r="T29">
        <v>16</v>
      </c>
      <c r="U29">
        <v>35</v>
      </c>
      <c r="V29">
        <v>0</v>
      </c>
      <c r="W29" s="25"/>
    </row>
    <row r="30" spans="1:23" x14ac:dyDescent="0.25">
      <c r="A30">
        <v>5.8</v>
      </c>
      <c r="B30">
        <v>3</v>
      </c>
      <c r="C30">
        <v>5.0999999999999996</v>
      </c>
      <c r="E30">
        <v>1.8</v>
      </c>
      <c r="F30" t="s">
        <v>7</v>
      </c>
      <c r="G30" t="s">
        <v>7</v>
      </c>
      <c r="I30">
        <f t="shared" si="2"/>
        <v>3.9</v>
      </c>
      <c r="J30" s="5">
        <v>3.8</v>
      </c>
      <c r="K30" t="s">
        <v>9</v>
      </c>
      <c r="L30">
        <f>COUNTIFS(B2:B84, "&lt;3.8", F2:F84,"Iris-setosa")</f>
        <v>6</v>
      </c>
      <c r="M30">
        <f>COUNTIFS(B2:B84, "&lt;3.8", F2:F84,"Iris-versicolor")</f>
        <v>37</v>
      </c>
      <c r="N30">
        <f>COUNTIFS(B2:B84, "&lt;3.8", F2:F84,"Iris-virginica")</f>
        <v>35</v>
      </c>
      <c r="O30" s="27">
        <f t="shared" ref="O30" si="25">(1-POWER(L30/SUM(L30,M30,N30),2)-POWER(M30/SUM(L30,M30,N30),2)-POWER(N30/SUM(L30,M30,N30),2))*SUM(L30,M30,N30)/83+(1-POWER(L31/SUM(L31,M31,N31),2)-POWER(M31/SUM(L31,M31,N31),2)-POWER(N31/SUM(L31,M31,N31),2))*SUM(L31,M31,N31)/83</f>
        <v>0.55279579857893113</v>
      </c>
      <c r="Q30">
        <v>5.0999999999999996</v>
      </c>
      <c r="R30">
        <v>5.0999999999999996</v>
      </c>
      <c r="S30" s="1" t="s">
        <v>26</v>
      </c>
      <c r="T30" s="1">
        <f>COUNTIFS(Q2:Q84, "&lt;4.9", F2:F84,"Iris-versicolor")</f>
        <v>32</v>
      </c>
      <c r="U30" s="1">
        <f>COUNTIFS(Q2:Q84, "&lt;4.9", F2:F84,"Iris-virginica")</f>
        <v>2</v>
      </c>
      <c r="V30" s="1">
        <f>COUNTIFS(R2:R84, "&lt;4.9", G2:G84,"Iris-setosa")</f>
        <v>3</v>
      </c>
      <c r="W30" s="25">
        <f t="shared" ref="W30" si="26">(1-POWER(T30/SUM(T30,U30,V30),2)-POWER(U30/SUM(T30,U30,V30),2)-POWER(V30/SUM(T30,U30,V30),2))*SUM(T30,U30,V30)/74 + (1-POWER(T31/SUM(T31,U31,V31),2)-POWER(U31/SUM(T31,U31,V31),2)-POWER(V31/SUM(T31,U31,V31),2))*SUM(T31,U31,V31)/74</f>
        <v>0.21767713659605542</v>
      </c>
    </row>
    <row r="31" spans="1:23" x14ac:dyDescent="0.25">
      <c r="A31">
        <v>6</v>
      </c>
      <c r="B31">
        <v>2.2000000000000002</v>
      </c>
      <c r="C31">
        <v>4</v>
      </c>
      <c r="E31">
        <v>1</v>
      </c>
      <c r="F31" t="s">
        <v>6</v>
      </c>
      <c r="G31" t="s">
        <v>6</v>
      </c>
      <c r="J31" s="5"/>
      <c r="K31" t="s">
        <v>10</v>
      </c>
      <c r="L31">
        <v>4</v>
      </c>
      <c r="M31">
        <v>0</v>
      </c>
      <c r="N31">
        <v>1</v>
      </c>
      <c r="O31" s="27"/>
      <c r="Q31">
        <v>4</v>
      </c>
      <c r="R31">
        <v>4</v>
      </c>
      <c r="S31" s="1" t="s">
        <v>10</v>
      </c>
      <c r="T31" s="1">
        <v>4</v>
      </c>
      <c r="U31" s="1">
        <v>33</v>
      </c>
      <c r="V31" s="1">
        <v>0</v>
      </c>
      <c r="W31" s="25"/>
    </row>
    <row r="32" spans="1:23" x14ac:dyDescent="0.25">
      <c r="A32">
        <v>5.4</v>
      </c>
      <c r="B32">
        <v>2.9</v>
      </c>
      <c r="C32">
        <v>4.5</v>
      </c>
      <c r="E32">
        <v>1.5</v>
      </c>
      <c r="F32" t="s">
        <v>6</v>
      </c>
      <c r="G32" t="s">
        <v>6</v>
      </c>
      <c r="I32">
        <f t="shared" si="2"/>
        <v>4.0999999999999996</v>
      </c>
      <c r="J32" s="5">
        <v>4</v>
      </c>
      <c r="K32" t="s">
        <v>9</v>
      </c>
      <c r="L32">
        <f>COUNTIFS(B2:B84, "&lt;4", F2:F84,"Iris-setosa")</f>
        <v>7</v>
      </c>
      <c r="M32">
        <f>COUNTIFS(B2:B84, "&lt;4", F2:F84,"Iris-versicolor")</f>
        <v>37</v>
      </c>
      <c r="N32">
        <f>COUNTIFS(B2:B84, "&lt;4", F2:F84,"Iris-virginica")</f>
        <v>36</v>
      </c>
      <c r="O32" s="27">
        <f t="shared" ref="O32" si="27">(1-POWER(L32/SUM(L32,M32,N32),2)-POWER(M32/SUM(L32,M32,N32),2)-POWER(N32/SUM(L32,M32,N32),2))*SUM(L32,M32,N32)/83+(1-POWER(L33/SUM(L33,M33,N33),2)-POWER(M33/SUM(L33,M33,N33),2)-POWER(N33/SUM(L33,M33,N33),2))*SUM(L33,M33,N33)/83</f>
        <v>0.55512048192771068</v>
      </c>
      <c r="Q32">
        <v>4.5</v>
      </c>
      <c r="R32">
        <v>4.5</v>
      </c>
      <c r="S32" s="3">
        <v>5</v>
      </c>
      <c r="T32">
        <f>COUNTIFS(Q2:Q84, "&lt;5", F2:F84,"Iris-versicolor")</f>
        <v>34</v>
      </c>
      <c r="U32">
        <f>COUNTIFS(Q2:Q84, "&lt;5", F2:F84,"Iris-virginica")</f>
        <v>4</v>
      </c>
      <c r="V32">
        <f>COUNTIFS(R2:R84, "&lt;5", G2:G84,"Iris-setosa")</f>
        <v>3</v>
      </c>
      <c r="W32" s="25">
        <f t="shared" ref="W32" si="28">(1-POWER(T32/SUM(T32,U32,V32),2)-POWER(U32/SUM(T32,U32,V32),2)-POWER(V32/SUM(T32,U32,V32),2))*SUM(T32,U32,V32)/74 + (1-POWER(T33/SUM(T33,U33,V33),2)-POWER(U33/SUM(T33,U33,V33),2)-POWER(V33/SUM(T33,U33,V33),2))*SUM(T33,U33,V33)/74</f>
        <v>0.26055184103964596</v>
      </c>
    </row>
    <row r="33" spans="1:23" x14ac:dyDescent="0.25">
      <c r="A33">
        <v>6</v>
      </c>
      <c r="B33">
        <v>2.7</v>
      </c>
      <c r="C33">
        <v>5.0999999999999996</v>
      </c>
      <c r="E33">
        <v>1.6</v>
      </c>
      <c r="F33" t="s">
        <v>6</v>
      </c>
      <c r="G33" t="s">
        <v>6</v>
      </c>
      <c r="K33" t="s">
        <v>10</v>
      </c>
      <c r="L33">
        <v>3</v>
      </c>
      <c r="M33">
        <v>0</v>
      </c>
      <c r="N33">
        <v>0</v>
      </c>
      <c r="O33" s="27"/>
      <c r="Q33">
        <v>5.0999999999999996</v>
      </c>
      <c r="R33">
        <v>5.0999999999999996</v>
      </c>
      <c r="T33">
        <v>4</v>
      </c>
      <c r="U33">
        <v>31</v>
      </c>
      <c r="V33">
        <v>0</v>
      </c>
      <c r="W33" s="25"/>
    </row>
    <row r="34" spans="1:23" x14ac:dyDescent="0.25">
      <c r="A34">
        <v>6.7</v>
      </c>
      <c r="B34" s="6">
        <v>3.4</v>
      </c>
      <c r="C34" s="6">
        <v>4.5</v>
      </c>
      <c r="E34" s="6">
        <v>1.6</v>
      </c>
      <c r="F34" s="6" t="s">
        <v>6</v>
      </c>
      <c r="G34" s="6" t="s">
        <v>6</v>
      </c>
      <c r="I34">
        <f>AVERAGE(J34,J36)</f>
        <v>4.3000000000000007</v>
      </c>
      <c r="J34" s="5">
        <v>4.2</v>
      </c>
      <c r="K34" t="s">
        <v>9</v>
      </c>
      <c r="L34">
        <f>COUNTIFS(B2:B84, "&lt;4.2", F2:F84,"Iris-setosa")</f>
        <v>8</v>
      </c>
      <c r="M34">
        <f>COUNTIFS(B2:B84, "&lt;4.2", F2:F84,"Iris-versicolor")</f>
        <v>37</v>
      </c>
      <c r="N34">
        <f>COUNTIFS(B2:B84, "&lt;4.2", F2:F84,"Iris-virginica")</f>
        <v>36</v>
      </c>
      <c r="O34" s="27">
        <f t="shared" ref="O34" si="29">(1-POWER(L34/SUM(L34,M34,N34),2)-POWER(M34/SUM(L34,M34,N34),2)-POWER(N34/SUM(L34,M34,N34),2))*SUM(L34,M34,N34)/83+(1-POWER(L35/SUM(L35,M35,N35),2)-POWER(M35/SUM(L35,M35,N35),2)-POWER(N35/SUM(L35,M35,N35),2))*SUM(L35,M35,N35)/83</f>
        <v>0.56998363825673071</v>
      </c>
      <c r="Q34" s="6"/>
      <c r="R34" s="6"/>
      <c r="S34" s="3">
        <v>5.0999999999999996</v>
      </c>
      <c r="T34">
        <f>COUNTIFS(Q2:Q84, "&lt;5.1", F2:F84,"Iris-versicolor")</f>
        <v>35</v>
      </c>
      <c r="U34">
        <f>COUNTIFS(Q2:Q84, "&lt;5.1", F2:F84,"Iris-virginica")</f>
        <v>7</v>
      </c>
      <c r="V34">
        <f>COUNTIFS(R2:R84, "&lt;5.1", G2:G84,"Iris-setosa")</f>
        <v>3</v>
      </c>
      <c r="W34" s="25">
        <f t="shared" ref="W34" si="30">(1-POWER(T34/SUM(T34,U34,V34),2)-POWER(U34/SUM(T34,U34,V34),2)-POWER(V34/SUM(T34,U34,V34),2))*SUM(T34,U34,V34)/74 + (1-POWER(T35/SUM(T35,U35,V35),2)-POWER(U35/SUM(T35,U35,V35),2)-POWER(V35/SUM(T35,U35,V35),2))*SUM(T35,U35,V35)/74</f>
        <v>0.24891788340064197</v>
      </c>
    </row>
    <row r="35" spans="1:23" x14ac:dyDescent="0.25">
      <c r="A35">
        <v>6.3</v>
      </c>
      <c r="B35">
        <v>2.2000000000000002</v>
      </c>
      <c r="C35">
        <v>5</v>
      </c>
      <c r="E35">
        <v>1.5</v>
      </c>
      <c r="F35" t="s">
        <v>7</v>
      </c>
      <c r="G35" t="s">
        <v>7</v>
      </c>
      <c r="K35" t="s">
        <v>10</v>
      </c>
      <c r="L35">
        <v>2</v>
      </c>
      <c r="M35">
        <v>0</v>
      </c>
      <c r="N35">
        <v>0</v>
      </c>
      <c r="O35" s="27"/>
      <c r="Q35">
        <v>5</v>
      </c>
      <c r="R35">
        <v>5</v>
      </c>
      <c r="T35">
        <v>1</v>
      </c>
      <c r="U35">
        <v>28</v>
      </c>
      <c r="V35">
        <v>0</v>
      </c>
      <c r="W35" s="25"/>
    </row>
    <row r="36" spans="1:23" x14ac:dyDescent="0.25">
      <c r="A36">
        <v>5.6</v>
      </c>
      <c r="B36">
        <v>3</v>
      </c>
      <c r="C36">
        <v>4.8</v>
      </c>
      <c r="E36">
        <v>1.8</v>
      </c>
      <c r="F36" t="s">
        <v>7</v>
      </c>
      <c r="G36" t="s">
        <v>7</v>
      </c>
      <c r="J36" s="5">
        <v>4.4000000000000004</v>
      </c>
      <c r="K36" t="s">
        <v>9</v>
      </c>
      <c r="L36">
        <f>COUNTIFS(B2:B84, "&lt;4.4", F2:F84,"Iris-setosa")</f>
        <v>9</v>
      </c>
      <c r="M36">
        <f>COUNTIFS(B2:B84, "&lt;4.4", F2:F84,"Iris-versicolor")</f>
        <v>37</v>
      </c>
      <c r="N36">
        <f>COUNTIFS(B2:B84, "&lt;4.4", F2:F84,"Iris-virginica")</f>
        <v>36</v>
      </c>
      <c r="O36" s="27">
        <f t="shared" ref="O36" si="31">(1-POWER(L36/SUM(L36,M36,N36),2)-POWER(M36/SUM(L36,M36,N36),2)-POWER(N36/SUM(L36,M36,N36),2))*SUM(L36,M36,N36)/83+(1-POWER(L37/SUM(L37,M37,N37),2)-POWER(M37/SUM(L37,M37,N37),2)-POWER(N37/SUM(L37,M37,N37),2))*SUM(L37,M37,N37)/83</f>
        <v>0.58448427857772545</v>
      </c>
      <c r="Q36">
        <v>4.8</v>
      </c>
      <c r="R36">
        <v>4.8</v>
      </c>
      <c r="S36" s="3">
        <v>5.2</v>
      </c>
      <c r="T36">
        <f>COUNTIFS(Q2:Q84, "&lt;5.2", F2:F84,"Iris-versicolor")</f>
        <v>36</v>
      </c>
      <c r="U36">
        <f>COUNTIFS(Q2:Q84, "&lt;5.2", F2:F84,"Iris-virginica")</f>
        <v>14</v>
      </c>
      <c r="V36">
        <f>COUNTIFS(R2:R84, "&lt;5.2", G2:G84,"Iris-setosa")</f>
        <v>3</v>
      </c>
      <c r="W36" s="25">
        <f t="shared" ref="W36" si="32">(1-POWER(T36/SUM(T36,U36,V36),2)-POWER(U36/SUM(T36,U36,V36),2)-POWER(V36/SUM(T36,U36,V36),2))*SUM(T36,U36,V36)/74 + (1-POWER(T37/SUM(T37,U37,V37),2)-POWER(U37/SUM(T37,U37,V37),2)-POWER(V37/SUM(T37,U37,V37),2))*SUM(T37,U37,V37)/74</f>
        <v>0.33350331463539018</v>
      </c>
    </row>
    <row r="37" spans="1:23" x14ac:dyDescent="0.25">
      <c r="A37">
        <v>5.5</v>
      </c>
      <c r="B37">
        <v>2.9</v>
      </c>
      <c r="C37">
        <v>4.7</v>
      </c>
      <c r="E37">
        <v>1.4</v>
      </c>
      <c r="F37" t="s">
        <v>6</v>
      </c>
      <c r="G37" t="s">
        <v>6</v>
      </c>
      <c r="K37" t="s">
        <v>10</v>
      </c>
      <c r="L37">
        <v>1</v>
      </c>
      <c r="M37">
        <v>0</v>
      </c>
      <c r="N37">
        <v>0</v>
      </c>
      <c r="O37" s="27"/>
      <c r="Q37">
        <v>4.7</v>
      </c>
      <c r="R37">
        <v>4.7</v>
      </c>
      <c r="T37">
        <v>0</v>
      </c>
      <c r="U37">
        <v>21</v>
      </c>
      <c r="V37">
        <v>0</v>
      </c>
      <c r="W37" s="25"/>
    </row>
    <row r="38" spans="1:23" x14ac:dyDescent="0.25">
      <c r="A38">
        <v>5.5</v>
      </c>
      <c r="B38">
        <v>2.8</v>
      </c>
      <c r="C38">
        <v>4</v>
      </c>
      <c r="E38">
        <v>1.3</v>
      </c>
      <c r="F38" t="s">
        <v>6</v>
      </c>
      <c r="G38" t="s">
        <v>6</v>
      </c>
      <c r="Q38">
        <v>4</v>
      </c>
      <c r="R38">
        <v>4</v>
      </c>
      <c r="S38" s="3">
        <v>5.3</v>
      </c>
      <c r="T38">
        <f>COUNTIFS(Q2:Q84, "&lt;5.3", F2:F84,"Iris-versicolor")</f>
        <v>36</v>
      </c>
      <c r="U38">
        <f>COUNTIFS(Q2:Q84, "&lt;5.3", F2:F84,"Iris-virginica")</f>
        <v>16</v>
      </c>
      <c r="V38">
        <f>COUNTIFS(R2:R84, "&lt;5.3", G2:G84,"Iris-setosa")</f>
        <v>3</v>
      </c>
      <c r="W38" s="25">
        <f t="shared" ref="W38" si="33">(1-POWER(T38/SUM(T38,U38,V38),2)-POWER(U38/SUM(T38,U38,V38),2)-POWER(V38/SUM(T38,U38,V38),2))*SUM(T38,U38,V38)/74 + (1-POWER(T39/SUM(T39,U39,V39),2)-POWER(U39/SUM(T39,U39,V39),2)-POWER(V39/SUM(T39,U39,V39),2))*SUM(T39,U39,V39)/74</f>
        <v>0.35970515970515965</v>
      </c>
    </row>
    <row r="39" spans="1:23" x14ac:dyDescent="0.25">
      <c r="A39">
        <v>6.1</v>
      </c>
      <c r="B39">
        <v>2.8</v>
      </c>
      <c r="C39">
        <v>4.7</v>
      </c>
      <c r="E39">
        <v>1.2</v>
      </c>
      <c r="F39" t="s">
        <v>6</v>
      </c>
      <c r="G39" t="s">
        <v>6</v>
      </c>
      <c r="M39">
        <f>MIN(O4:O36)</f>
        <v>0.5198089655920981</v>
      </c>
      <c r="Q39">
        <v>4.7</v>
      </c>
      <c r="R39">
        <v>4.7</v>
      </c>
      <c r="T39">
        <v>0</v>
      </c>
      <c r="U39">
        <v>19</v>
      </c>
      <c r="V39">
        <v>0</v>
      </c>
      <c r="W39" s="25"/>
    </row>
    <row r="40" spans="1:23" x14ac:dyDescent="0.25">
      <c r="A40">
        <v>5.8</v>
      </c>
      <c r="B40">
        <v>3</v>
      </c>
      <c r="C40">
        <v>4.5999999999999996</v>
      </c>
      <c r="E40">
        <v>1.4</v>
      </c>
      <c r="F40" t="s">
        <v>6</v>
      </c>
      <c r="G40" t="s">
        <v>6</v>
      </c>
      <c r="Q40">
        <v>4.5999999999999996</v>
      </c>
      <c r="R40">
        <v>4.5999999999999996</v>
      </c>
      <c r="S40" s="3">
        <v>5.4</v>
      </c>
      <c r="T40">
        <f>COUNTIFS(Q2:Q84, "&lt;5.4", F2:F84,"Iris-versicolor")</f>
        <v>36</v>
      </c>
      <c r="U40">
        <f>COUNTIFS(Q2:Q84, "&lt;5.4", F2:F84,"Iris-virginica")</f>
        <v>18</v>
      </c>
      <c r="V40">
        <f>COUNTIFS(R2:R84, "&lt;5.4", G2:G84,"Iris-setosa")</f>
        <v>3</v>
      </c>
      <c r="W40" s="25">
        <f t="shared" ref="W40" si="34">(1-POWER(T40/SUM(T40,U40,V40),2)-POWER(U40/SUM(T40,U40,V40),2)-POWER(V40/SUM(T40,U40,V40),2))*SUM(T40,U40,V40)/74 + (1-POWER(T41/SUM(T41,U41,V41),2)-POWER(U41/SUM(T41,U41,V41),2)-POWER(V41/SUM(T41,U41,V41),2))*SUM(T41,U41,V41)/74</f>
        <v>0.38406827880512101</v>
      </c>
    </row>
    <row r="41" spans="1:23" x14ac:dyDescent="0.25">
      <c r="A41">
        <v>5.6</v>
      </c>
      <c r="B41">
        <v>2.6</v>
      </c>
      <c r="C41">
        <v>5.6</v>
      </c>
      <c r="E41">
        <v>1.4</v>
      </c>
      <c r="F41" t="s">
        <v>7</v>
      </c>
      <c r="G41" t="s">
        <v>7</v>
      </c>
      <c r="Q41">
        <v>5.6</v>
      </c>
      <c r="R41">
        <v>5.6</v>
      </c>
      <c r="T41">
        <v>0</v>
      </c>
      <c r="U41">
        <v>17</v>
      </c>
      <c r="V41">
        <v>0</v>
      </c>
      <c r="W41" s="25"/>
    </row>
    <row r="42" spans="1:23" x14ac:dyDescent="0.25">
      <c r="A42">
        <v>5.7</v>
      </c>
      <c r="B42">
        <v>2.2000000000000002</v>
      </c>
      <c r="C42">
        <v>4.5</v>
      </c>
      <c r="E42">
        <v>1.5</v>
      </c>
      <c r="F42" t="s">
        <v>6</v>
      </c>
      <c r="G42" t="s">
        <v>6</v>
      </c>
      <c r="Q42">
        <v>4.5</v>
      </c>
      <c r="R42">
        <v>4.5</v>
      </c>
      <c r="S42" s="3">
        <v>5.5</v>
      </c>
      <c r="T42">
        <f>COUNTIFS(Q2:Q84, "&lt;5.5", F2:F84,"Iris-versicolor")</f>
        <v>36</v>
      </c>
      <c r="U42">
        <f>COUNTIFS(Q2:Q84, "&lt;5.5", F2:F84,"Iris-virginica")</f>
        <v>19</v>
      </c>
      <c r="V42">
        <f>COUNTIFS(R2:R84, "&lt;5.5", G2:G84,"Iris-setosa")</f>
        <v>3</v>
      </c>
      <c r="W42" s="25">
        <f t="shared" ref="W42" si="35">(1-POWER(T42/SUM(T42,U42,V42),2)-POWER(U42/SUM(T42,U42,V42),2)-POWER(V42/SUM(T42,U42,V42),2))*SUM(T42,U42,V42)/74 + (1-POWER(T43/SUM(T43,U43,V43),2)-POWER(U43/SUM(T43,U43,V43),2)-POWER(V43/SUM(T43,U43,V43),2))*SUM(T43,U43,V43)/74</f>
        <v>0.39561975768872315</v>
      </c>
    </row>
    <row r="43" spans="1:23" x14ac:dyDescent="0.25">
      <c r="A43">
        <v>5.7</v>
      </c>
      <c r="B43">
        <v>2.9</v>
      </c>
      <c r="C43">
        <v>4.3</v>
      </c>
      <c r="E43">
        <v>1.3</v>
      </c>
      <c r="F43" t="s">
        <v>6</v>
      </c>
      <c r="G43" t="s">
        <v>6</v>
      </c>
      <c r="Q43">
        <v>4.3</v>
      </c>
      <c r="R43">
        <v>4.3</v>
      </c>
      <c r="T43">
        <v>0</v>
      </c>
      <c r="U43">
        <v>16</v>
      </c>
      <c r="V43">
        <v>0</v>
      </c>
      <c r="W43" s="25"/>
    </row>
    <row r="44" spans="1:23" x14ac:dyDescent="0.25">
      <c r="A44">
        <v>6.2</v>
      </c>
      <c r="B44">
        <v>2.8</v>
      </c>
      <c r="C44">
        <v>4.8</v>
      </c>
      <c r="E44">
        <v>1.8</v>
      </c>
      <c r="F44" t="s">
        <v>7</v>
      </c>
      <c r="G44" t="s">
        <v>7</v>
      </c>
      <c r="Q44">
        <v>4.8</v>
      </c>
      <c r="R44">
        <v>4.8</v>
      </c>
      <c r="S44" s="3">
        <v>5.6</v>
      </c>
      <c r="T44">
        <f>COUNTIFS(Q2:Q84, "&lt;5.6", F2:F84,"Iris-versicolor")</f>
        <v>36</v>
      </c>
      <c r="U44">
        <f>COUNTIFS(Q2:Q84, "&lt;5.6", F2:F84,"Iris-virginica")</f>
        <v>22</v>
      </c>
      <c r="V44">
        <f>COUNTIFS(R2:R84, "&lt;5.6", G2:G84,"Iris-setosa")</f>
        <v>3</v>
      </c>
      <c r="W44" s="25">
        <f t="shared" ref="W44" si="36">(1-POWER(T44/SUM(T44,U44,V44),2)-POWER(U44/SUM(T44,U44,V44),2)-POWER(V44/SUM(T44,U44,V44),2))*SUM(T44,U44,V44)/74 + (1-POWER(T45/SUM(T45,U45,V45),2)-POWER(U45/SUM(T45,U45,V45),2)-POWER(V45/SUM(T45,U45,V45),2))*SUM(T45,U45,V45)/74</f>
        <v>0.42800177226406733</v>
      </c>
    </row>
    <row r="45" spans="1:23" x14ac:dyDescent="0.25">
      <c r="A45">
        <v>5.7</v>
      </c>
      <c r="B45">
        <v>3.3</v>
      </c>
      <c r="C45">
        <v>4.7</v>
      </c>
      <c r="E45">
        <v>1.6</v>
      </c>
      <c r="F45" t="s">
        <v>6</v>
      </c>
      <c r="G45" t="s">
        <v>6</v>
      </c>
      <c r="Q45">
        <v>4.7</v>
      </c>
      <c r="R45">
        <v>4.7</v>
      </c>
      <c r="T45">
        <v>0</v>
      </c>
      <c r="U45">
        <v>13</v>
      </c>
      <c r="V45">
        <v>0</v>
      </c>
      <c r="W45" s="25"/>
    </row>
    <row r="46" spans="1:23" x14ac:dyDescent="0.25">
      <c r="A46">
        <v>6.3</v>
      </c>
      <c r="B46">
        <v>2.5</v>
      </c>
      <c r="C46">
        <v>4.9000000000000004</v>
      </c>
      <c r="E46">
        <v>1.5</v>
      </c>
      <c r="F46" t="s">
        <v>6</v>
      </c>
      <c r="G46" t="s">
        <v>6</v>
      </c>
      <c r="Q46">
        <v>4.9000000000000004</v>
      </c>
      <c r="R46">
        <v>4.9000000000000004</v>
      </c>
      <c r="S46" s="3">
        <v>5.7</v>
      </c>
      <c r="T46">
        <f>COUNTIFS(Q2:Q84, "&lt;5.7", F2:F84,"Iris-versicolor")</f>
        <v>36</v>
      </c>
      <c r="U46">
        <f>COUNTIFS(Q2:Q84, "&lt;5.7", F2:F84,"Iris-virginica")</f>
        <v>27</v>
      </c>
      <c r="V46">
        <f>COUNTIFS(R2:R84, "&lt;5.7", G2:G84,"Iris-setosa")</f>
        <v>3</v>
      </c>
      <c r="W46" s="25">
        <f t="shared" ref="W46" si="37">(1-POWER(T46/SUM(T46,U46,V46),2)-POWER(U46/SUM(T46,U46,V46),2)-POWER(V46/SUM(T46,U46,V46),2))*SUM(T46,U46,V46)/74 + (1-POWER(T47/SUM(T47,U47,V47),2)-POWER(U47/SUM(T47,U47,V47),2)-POWER(V47/SUM(T47,U47,V47),2))*SUM(T47,U47,V47)/74</f>
        <v>0.47542997542997539</v>
      </c>
    </row>
    <row r="47" spans="1:23" x14ac:dyDescent="0.25">
      <c r="A47">
        <v>5.8</v>
      </c>
      <c r="B47">
        <v>2.2999999999999998</v>
      </c>
      <c r="C47">
        <v>4.4000000000000004</v>
      </c>
      <c r="E47">
        <v>1.3</v>
      </c>
      <c r="F47" t="s">
        <v>6</v>
      </c>
      <c r="G47" t="s">
        <v>6</v>
      </c>
      <c r="Q47">
        <v>4.4000000000000004</v>
      </c>
      <c r="R47">
        <v>4.4000000000000004</v>
      </c>
      <c r="T47">
        <v>0</v>
      </c>
      <c r="U47">
        <v>8</v>
      </c>
      <c r="V47">
        <v>0</v>
      </c>
      <c r="W47" s="25"/>
    </row>
    <row r="48" spans="1:23" x14ac:dyDescent="0.25">
      <c r="A48">
        <v>7.1</v>
      </c>
      <c r="B48">
        <v>3.3</v>
      </c>
      <c r="C48">
        <v>6</v>
      </c>
      <c r="E48">
        <v>2.5</v>
      </c>
      <c r="F48" t="s">
        <v>7</v>
      </c>
      <c r="G48" t="s">
        <v>7</v>
      </c>
      <c r="Q48">
        <v>6</v>
      </c>
      <c r="R48">
        <v>6</v>
      </c>
      <c r="S48" s="3">
        <v>5.8</v>
      </c>
      <c r="T48">
        <f>COUNTIFS(Q2:Q84, "&lt;5.8", F2:F84,"Iris-versicolor")</f>
        <v>36</v>
      </c>
      <c r="U48">
        <f>COUNTIFS(Q2:Q84, "&lt;5.8", F2:F84,"Iris-virginica")</f>
        <v>30</v>
      </c>
      <c r="V48">
        <f>COUNTIFS(R2:R84, "&lt;5.8", G2:G84,"Iris-setosa")</f>
        <v>3</v>
      </c>
      <c r="W48" s="25">
        <f t="shared" ref="W48" si="38">(1-POWER(T48/SUM(T48,U48,V48),2)-POWER(U48/SUM(T48,U48,V48),2)-POWER(V48/SUM(T48,U48,V48),2))*SUM(T48,U48,V48)/74 + (1-POWER(T49/SUM(T49,U49,V49),2)-POWER(U49/SUM(T49,U49,V49),2)-POWER(V49/SUM(T49,U49,V49),2))*SUM(T49,U49,V49)/74</f>
        <v>0.50058754406580497</v>
      </c>
    </row>
    <row r="49" spans="1:23" x14ac:dyDescent="0.25">
      <c r="A49">
        <v>6.3</v>
      </c>
      <c r="B49">
        <v>2.9</v>
      </c>
      <c r="C49">
        <v>5.6</v>
      </c>
      <c r="E49">
        <v>1.8</v>
      </c>
      <c r="F49" t="s">
        <v>7</v>
      </c>
      <c r="G49" t="s">
        <v>7</v>
      </c>
      <c r="Q49">
        <v>5.6</v>
      </c>
      <c r="R49">
        <v>5.6</v>
      </c>
      <c r="T49">
        <v>0</v>
      </c>
      <c r="U49">
        <v>5</v>
      </c>
      <c r="V49">
        <v>0</v>
      </c>
      <c r="W49" s="25"/>
    </row>
    <row r="50" spans="1:23" x14ac:dyDescent="0.25">
      <c r="A50">
        <v>6.5</v>
      </c>
      <c r="B50">
        <v>2.7</v>
      </c>
      <c r="C50">
        <v>4.9000000000000004</v>
      </c>
      <c r="E50">
        <v>1.8</v>
      </c>
      <c r="F50" t="s">
        <v>7</v>
      </c>
      <c r="G50" t="s">
        <v>7</v>
      </c>
      <c r="Q50">
        <v>4.9000000000000004</v>
      </c>
      <c r="R50">
        <v>4.9000000000000004</v>
      </c>
      <c r="S50" s="3">
        <v>5.9</v>
      </c>
      <c r="T50">
        <f>COUNTIFS(Q2:Q84, "&lt;5.9", F2:F84,"Iris-versicolor")</f>
        <v>36</v>
      </c>
      <c r="U50">
        <f>COUNTIFS(Q2:Q84, "&lt;5.9", F2:F84,"Iris-virginica")</f>
        <v>32</v>
      </c>
      <c r="V50">
        <f>COUNTIFS(R2:R84, "&lt;5.9", G2:G84,"Iris-setosa")</f>
        <v>3</v>
      </c>
      <c r="W50" s="25">
        <f t="shared" ref="W50" si="39">(1-POWER(T50/SUM(T50,U50,V50),2)-POWER(U50/SUM(T50,U50,V50),2)-POWER(V50/SUM(T50,U50,V50),2))*SUM(T50,U50,V50)/74 + (1-POWER(T51/SUM(T51,U51,V51),2)-POWER(U51/SUM(T51,U51,V51),2)-POWER(V51/SUM(T51,U51,V51),2))*SUM(T51,U51,V51)/74</f>
        <v>0.51617814998096678</v>
      </c>
    </row>
    <row r="51" spans="1:23" x14ac:dyDescent="0.25">
      <c r="A51">
        <v>7.6</v>
      </c>
      <c r="B51">
        <v>2.8</v>
      </c>
      <c r="C51">
        <v>5.0999999999999996</v>
      </c>
      <c r="E51">
        <v>1.5</v>
      </c>
      <c r="F51" t="s">
        <v>7</v>
      </c>
      <c r="G51" t="s">
        <v>7</v>
      </c>
      <c r="Q51">
        <v>5.0999999999999996</v>
      </c>
      <c r="R51">
        <v>5.0999999999999996</v>
      </c>
      <c r="T51">
        <v>0</v>
      </c>
      <c r="U51">
        <v>3</v>
      </c>
      <c r="V51">
        <v>0</v>
      </c>
      <c r="W51" s="25"/>
    </row>
    <row r="52" spans="1:23" x14ac:dyDescent="0.25">
      <c r="A52">
        <v>7.3</v>
      </c>
      <c r="B52">
        <v>2.5</v>
      </c>
      <c r="C52">
        <v>5</v>
      </c>
      <c r="E52">
        <v>1.9</v>
      </c>
      <c r="F52" t="s">
        <v>7</v>
      </c>
      <c r="G52" t="s">
        <v>7</v>
      </c>
      <c r="Q52">
        <v>5</v>
      </c>
      <c r="R52">
        <v>5</v>
      </c>
      <c r="S52" s="3">
        <v>6</v>
      </c>
      <c r="T52">
        <f>COUNTIFS(Q2:Q84, "&lt;6", F2:F84,"Iris-versicolor")</f>
        <v>36</v>
      </c>
      <c r="U52">
        <f>COUNTIFS(Q2:Q84, "&lt;6", F2:F84,"Iris-virginica")</f>
        <v>33</v>
      </c>
      <c r="V52">
        <f>COUNTIFS(R2:R84, "&lt;6", G2:G84,"Iris-setosa")</f>
        <v>3</v>
      </c>
      <c r="W52" s="25">
        <f t="shared" ref="W52" si="40">(1-POWER(T52/SUM(T52,U52,V52),2)-POWER(U52/SUM(T52,U52,V52),2)-POWER(V52/SUM(T52,U52,V52),2))*SUM(T52,U52,V52)/74 + (1-POWER(T53/SUM(T53,U53,V53),2)-POWER(U53/SUM(T53,U53,V53),2)-POWER(V53/SUM(T53,U53,V53),2))*SUM(T53,U53,V53)/74</f>
        <v>0.52364864864864868</v>
      </c>
    </row>
    <row r="53" spans="1:23" x14ac:dyDescent="0.25">
      <c r="A53">
        <v>6.7</v>
      </c>
      <c r="B53">
        <v>3.2</v>
      </c>
      <c r="C53">
        <v>4.5</v>
      </c>
      <c r="E53">
        <v>1.5</v>
      </c>
      <c r="F53" t="s">
        <v>6</v>
      </c>
      <c r="G53" t="s">
        <v>6</v>
      </c>
      <c r="Q53">
        <v>4.5</v>
      </c>
      <c r="R53">
        <v>4.5</v>
      </c>
      <c r="T53">
        <v>0</v>
      </c>
      <c r="U53">
        <v>2</v>
      </c>
      <c r="V53">
        <v>0</v>
      </c>
      <c r="W53" s="25"/>
    </row>
    <row r="54" spans="1:23" x14ac:dyDescent="0.25">
      <c r="A54">
        <v>7.2</v>
      </c>
      <c r="B54">
        <v>2.9</v>
      </c>
      <c r="C54">
        <v>4.3</v>
      </c>
      <c r="E54">
        <v>1.3</v>
      </c>
      <c r="F54" t="s">
        <v>6</v>
      </c>
      <c r="G54" t="s">
        <v>6</v>
      </c>
      <c r="Q54">
        <v>4.3</v>
      </c>
      <c r="R54">
        <v>4.3</v>
      </c>
      <c r="S54" s="3">
        <v>6.1</v>
      </c>
      <c r="T54">
        <f>COUNTIFS(Q2:Q84, "&lt;6.1", F2:F84,"Iris-versicolor")</f>
        <v>36</v>
      </c>
      <c r="U54">
        <f>COUNTIFS(Q2:Q84, "&lt;6.1", F2:F84,"Iris-virginica")</f>
        <v>34</v>
      </c>
      <c r="V54">
        <f>COUNTIFS(R2:R84, "&lt;6.1", G2:G84,"Iris-setosa")</f>
        <v>3</v>
      </c>
      <c r="W54" s="25">
        <f t="shared" ref="W54" si="41">(1-POWER(T54/SUM(T54,U54,V54),2)-POWER(U54/SUM(T54,U54,V54),2)-POWER(V54/SUM(T54,U54,V54),2))*SUM(T54,U54,V54)/74 + (1-POWER(T55/SUM(T55,U55,V55),2)-POWER(U55/SUM(T55,U55,V55),2)-POWER(V55/SUM(T55,U55,V55),2))*SUM(T55,U55,V55)/74</f>
        <v>0.53091447611995557</v>
      </c>
    </row>
    <row r="55" spans="1:23" x14ac:dyDescent="0.25">
      <c r="A55">
        <v>6.5</v>
      </c>
      <c r="B55">
        <v>2.7</v>
      </c>
      <c r="C55">
        <v>5.3</v>
      </c>
      <c r="E55">
        <v>1.9</v>
      </c>
      <c r="F55" t="s">
        <v>7</v>
      </c>
      <c r="G55" t="s">
        <v>7</v>
      </c>
      <c r="J55" s="5"/>
      <c r="Q55">
        <v>5.3</v>
      </c>
      <c r="R55">
        <v>5.3</v>
      </c>
      <c r="T55">
        <v>0</v>
      </c>
      <c r="U55">
        <v>1</v>
      </c>
      <c r="V55">
        <v>0</v>
      </c>
      <c r="W55" s="25"/>
    </row>
    <row r="56" spans="1:23" x14ac:dyDescent="0.25">
      <c r="A56">
        <v>6.4</v>
      </c>
      <c r="B56">
        <v>3.2</v>
      </c>
      <c r="C56">
        <v>5.3</v>
      </c>
      <c r="E56">
        <v>2.2999999999999998</v>
      </c>
      <c r="F56" t="s">
        <v>7</v>
      </c>
      <c r="G56" t="s">
        <v>7</v>
      </c>
      <c r="J56" s="5"/>
      <c r="Q56">
        <v>5.3</v>
      </c>
      <c r="R56">
        <v>5.3</v>
      </c>
    </row>
    <row r="57" spans="1:23" x14ac:dyDescent="0.25">
      <c r="A57">
        <v>6.8</v>
      </c>
      <c r="B57">
        <v>2.8</v>
      </c>
      <c r="C57">
        <v>5.6</v>
      </c>
      <c r="E57">
        <v>2.1</v>
      </c>
      <c r="F57" t="s">
        <v>7</v>
      </c>
      <c r="G57" t="s">
        <v>7</v>
      </c>
      <c r="Q57">
        <v>5.6</v>
      </c>
      <c r="R57">
        <v>5.6</v>
      </c>
      <c r="U57">
        <f>MIN(W4:W54)</f>
        <v>0.21767713659605542</v>
      </c>
    </row>
    <row r="58" spans="1:23" x14ac:dyDescent="0.25">
      <c r="A58">
        <v>5.7</v>
      </c>
      <c r="B58">
        <v>2.8</v>
      </c>
      <c r="C58">
        <v>5.6</v>
      </c>
      <c r="E58">
        <v>2.2000000000000002</v>
      </c>
      <c r="F58" t="s">
        <v>7</v>
      </c>
      <c r="G58" t="s">
        <v>7</v>
      </c>
      <c r="Q58">
        <v>5.6</v>
      </c>
      <c r="R58">
        <v>5.6</v>
      </c>
    </row>
    <row r="59" spans="1:23" x14ac:dyDescent="0.25">
      <c r="A59">
        <v>5.8</v>
      </c>
      <c r="B59">
        <v>3.1</v>
      </c>
      <c r="C59">
        <v>5.5</v>
      </c>
      <c r="E59">
        <v>1.8</v>
      </c>
      <c r="F59" t="s">
        <v>7</v>
      </c>
      <c r="G59" t="s">
        <v>7</v>
      </c>
      <c r="Q59">
        <v>5.5</v>
      </c>
      <c r="R59">
        <v>5.5</v>
      </c>
    </row>
    <row r="60" spans="1:23" x14ac:dyDescent="0.25">
      <c r="A60">
        <v>6.4</v>
      </c>
      <c r="B60">
        <v>2.8</v>
      </c>
      <c r="C60">
        <v>4.5999999999999996</v>
      </c>
      <c r="E60">
        <v>1.5</v>
      </c>
      <c r="F60" t="s">
        <v>6</v>
      </c>
      <c r="G60" t="s">
        <v>6</v>
      </c>
      <c r="Q60">
        <v>4.5999999999999996</v>
      </c>
      <c r="R60">
        <v>4.5999999999999996</v>
      </c>
    </row>
    <row r="61" spans="1:23" x14ac:dyDescent="0.25">
      <c r="A61">
        <v>6.5</v>
      </c>
      <c r="B61">
        <v>3</v>
      </c>
      <c r="C61">
        <v>5.8</v>
      </c>
      <c r="E61">
        <v>2.2000000000000002</v>
      </c>
      <c r="F61" t="s">
        <v>7</v>
      </c>
      <c r="G61" t="s">
        <v>7</v>
      </c>
      <c r="Q61">
        <v>5.8</v>
      </c>
      <c r="R61">
        <v>5.8</v>
      </c>
    </row>
    <row r="62" spans="1:23" x14ac:dyDescent="0.25">
      <c r="A62">
        <v>7.7</v>
      </c>
      <c r="B62">
        <v>3.2</v>
      </c>
      <c r="C62">
        <v>5.0999999999999996</v>
      </c>
      <c r="E62">
        <v>2</v>
      </c>
      <c r="F62" t="s">
        <v>7</v>
      </c>
      <c r="G62" t="s">
        <v>7</v>
      </c>
      <c r="Q62">
        <v>5.0999999999999996</v>
      </c>
      <c r="R62">
        <v>5.0999999999999996</v>
      </c>
    </row>
    <row r="63" spans="1:23" x14ac:dyDescent="0.25">
      <c r="A63">
        <v>7.7</v>
      </c>
      <c r="B63">
        <v>3</v>
      </c>
      <c r="C63">
        <v>5.5</v>
      </c>
      <c r="E63">
        <v>1.8</v>
      </c>
      <c r="F63" t="s">
        <v>7</v>
      </c>
      <c r="G63" t="s">
        <v>7</v>
      </c>
      <c r="Q63">
        <v>5.5</v>
      </c>
      <c r="R63">
        <v>5.5</v>
      </c>
    </row>
    <row r="64" spans="1:23" x14ac:dyDescent="0.25">
      <c r="A64">
        <v>6</v>
      </c>
      <c r="B64">
        <v>3</v>
      </c>
      <c r="C64">
        <v>5.2</v>
      </c>
      <c r="E64">
        <v>2</v>
      </c>
      <c r="F64" t="s">
        <v>7</v>
      </c>
      <c r="G64" t="s">
        <v>7</v>
      </c>
      <c r="Q64">
        <v>5.2</v>
      </c>
      <c r="R64">
        <v>5.2</v>
      </c>
    </row>
    <row r="65" spans="1:18" x14ac:dyDescent="0.25">
      <c r="A65">
        <v>6.9</v>
      </c>
      <c r="B65">
        <v>2.9</v>
      </c>
      <c r="C65">
        <v>4.5999999999999996</v>
      </c>
      <c r="E65">
        <v>1.3</v>
      </c>
      <c r="F65" t="s">
        <v>6</v>
      </c>
      <c r="G65" t="s">
        <v>6</v>
      </c>
      <c r="Q65">
        <v>4.5999999999999996</v>
      </c>
      <c r="R65">
        <v>4.5999999999999996</v>
      </c>
    </row>
    <row r="66" spans="1:18" x14ac:dyDescent="0.25">
      <c r="A66">
        <v>5.6</v>
      </c>
      <c r="B66">
        <v>3</v>
      </c>
      <c r="C66">
        <v>4.4000000000000004</v>
      </c>
      <c r="E66">
        <v>1.4</v>
      </c>
      <c r="F66" t="s">
        <v>6</v>
      </c>
      <c r="G66" t="s">
        <v>6</v>
      </c>
      <c r="Q66">
        <v>4.4000000000000004</v>
      </c>
      <c r="R66">
        <v>4.4000000000000004</v>
      </c>
    </row>
    <row r="67" spans="1:18" x14ac:dyDescent="0.25">
      <c r="A67">
        <v>7.7</v>
      </c>
      <c r="B67">
        <v>3.1</v>
      </c>
      <c r="C67">
        <v>4.4000000000000004</v>
      </c>
      <c r="E67">
        <v>1.4</v>
      </c>
      <c r="F67" t="s">
        <v>6</v>
      </c>
      <c r="G67" t="s">
        <v>6</v>
      </c>
      <c r="Q67">
        <v>4.4000000000000004</v>
      </c>
      <c r="R67">
        <v>4.4000000000000004</v>
      </c>
    </row>
    <row r="68" spans="1:18" x14ac:dyDescent="0.25">
      <c r="A68">
        <v>6.3</v>
      </c>
      <c r="B68">
        <v>3</v>
      </c>
      <c r="C68">
        <v>5</v>
      </c>
      <c r="E68">
        <v>1.7</v>
      </c>
      <c r="F68" t="s">
        <v>6</v>
      </c>
      <c r="G68" t="s">
        <v>6</v>
      </c>
      <c r="Q68">
        <v>5</v>
      </c>
      <c r="R68">
        <v>5</v>
      </c>
    </row>
    <row r="69" spans="1:18" x14ac:dyDescent="0.25">
      <c r="A69">
        <v>6.7</v>
      </c>
      <c r="B69">
        <v>3.1</v>
      </c>
      <c r="C69">
        <v>4.7</v>
      </c>
      <c r="E69">
        <v>1.5</v>
      </c>
      <c r="F69" t="s">
        <v>6</v>
      </c>
      <c r="G69" t="s">
        <v>6</v>
      </c>
      <c r="Q69">
        <v>4.7</v>
      </c>
      <c r="R69">
        <v>4.7</v>
      </c>
    </row>
    <row r="70" spans="1:18" x14ac:dyDescent="0.25">
      <c r="A70">
        <v>7.2</v>
      </c>
      <c r="B70">
        <v>2.5</v>
      </c>
      <c r="C70">
        <v>5.8</v>
      </c>
      <c r="E70">
        <v>1.8</v>
      </c>
      <c r="F70" t="s">
        <v>7</v>
      </c>
      <c r="G70" t="s">
        <v>7</v>
      </c>
      <c r="Q70">
        <v>5.8</v>
      </c>
      <c r="R70">
        <v>5.8</v>
      </c>
    </row>
    <row r="71" spans="1:18" x14ac:dyDescent="0.25">
      <c r="A71">
        <v>6.2</v>
      </c>
      <c r="B71">
        <v>3.3</v>
      </c>
      <c r="C71">
        <v>5.7</v>
      </c>
      <c r="E71">
        <v>2.1</v>
      </c>
      <c r="F71" t="s">
        <v>7</v>
      </c>
      <c r="G71" t="s">
        <v>7</v>
      </c>
      <c r="Q71">
        <v>5.7</v>
      </c>
      <c r="R71">
        <v>5.7</v>
      </c>
    </row>
    <row r="72" spans="1:18" x14ac:dyDescent="0.25">
      <c r="A72">
        <v>6.1</v>
      </c>
      <c r="B72">
        <v>3.1</v>
      </c>
      <c r="C72">
        <v>5.6</v>
      </c>
      <c r="E72">
        <v>2.4</v>
      </c>
      <c r="F72" t="s">
        <v>7</v>
      </c>
      <c r="G72" t="s">
        <v>7</v>
      </c>
      <c r="Q72">
        <v>5.6</v>
      </c>
      <c r="R72">
        <v>5.6</v>
      </c>
    </row>
    <row r="73" spans="1:18" x14ac:dyDescent="0.25">
      <c r="A73">
        <v>6.4</v>
      </c>
      <c r="B73">
        <v>3.3</v>
      </c>
      <c r="C73">
        <v>5.7</v>
      </c>
      <c r="E73">
        <v>2.5</v>
      </c>
      <c r="F73" t="s">
        <v>7</v>
      </c>
      <c r="G73" t="s">
        <v>7</v>
      </c>
      <c r="Q73">
        <v>5.7</v>
      </c>
      <c r="R73">
        <v>5.7</v>
      </c>
    </row>
    <row r="74" spans="1:18" x14ac:dyDescent="0.25">
      <c r="A74">
        <v>7.2</v>
      </c>
      <c r="B74">
        <v>3</v>
      </c>
      <c r="C74">
        <v>5.2</v>
      </c>
      <c r="E74">
        <v>2.2999999999999998</v>
      </c>
      <c r="F74" t="s">
        <v>7</v>
      </c>
      <c r="G74" t="s">
        <v>7</v>
      </c>
      <c r="Q74">
        <v>5.2</v>
      </c>
      <c r="R74">
        <v>5.2</v>
      </c>
    </row>
    <row r="75" spans="1:18" x14ac:dyDescent="0.25">
      <c r="A75">
        <v>7.4</v>
      </c>
      <c r="B75">
        <v>2.8</v>
      </c>
      <c r="C75">
        <v>4.8</v>
      </c>
      <c r="E75">
        <v>1.4</v>
      </c>
      <c r="F75" t="s">
        <v>6</v>
      </c>
      <c r="G75" t="s">
        <v>6</v>
      </c>
      <c r="Q75">
        <v>4.8</v>
      </c>
      <c r="R75">
        <v>4.8</v>
      </c>
    </row>
    <row r="76" spans="1:18" x14ac:dyDescent="0.25">
      <c r="A76">
        <v>7.9</v>
      </c>
      <c r="B76">
        <v>3</v>
      </c>
      <c r="C76">
        <v>5.5</v>
      </c>
      <c r="E76">
        <v>2.1</v>
      </c>
      <c r="F76" t="s">
        <v>7</v>
      </c>
      <c r="G76" t="s">
        <v>7</v>
      </c>
      <c r="Q76">
        <v>5.5</v>
      </c>
      <c r="R76">
        <v>5.5</v>
      </c>
    </row>
    <row r="77" spans="1:18" x14ac:dyDescent="0.25">
      <c r="A77">
        <v>6.4</v>
      </c>
      <c r="B77">
        <v>3.2</v>
      </c>
      <c r="C77">
        <v>5.9</v>
      </c>
      <c r="E77">
        <v>2.2999999999999998</v>
      </c>
      <c r="F77" t="s">
        <v>7</v>
      </c>
      <c r="G77" t="s">
        <v>7</v>
      </c>
      <c r="Q77">
        <v>5.9</v>
      </c>
      <c r="R77">
        <v>5.9</v>
      </c>
    </row>
    <row r="78" spans="1:18" x14ac:dyDescent="0.25">
      <c r="A78">
        <v>6.3</v>
      </c>
      <c r="B78">
        <v>3.1</v>
      </c>
      <c r="C78">
        <v>4.9000000000000004</v>
      </c>
      <c r="E78">
        <v>1.5</v>
      </c>
      <c r="F78" t="s">
        <v>6</v>
      </c>
      <c r="G78" t="s">
        <v>6</v>
      </c>
      <c r="Q78">
        <v>4.9000000000000004</v>
      </c>
      <c r="R78">
        <v>4.9000000000000004</v>
      </c>
    </row>
    <row r="79" spans="1:18" x14ac:dyDescent="0.25">
      <c r="A79">
        <v>6.1</v>
      </c>
      <c r="B79">
        <v>3.2</v>
      </c>
      <c r="C79">
        <v>5.7</v>
      </c>
      <c r="E79">
        <v>2.2999999999999998</v>
      </c>
      <c r="F79" t="s">
        <v>7</v>
      </c>
      <c r="G79" t="s">
        <v>7</v>
      </c>
      <c r="J79" s="5"/>
      <c r="Q79">
        <v>5.7</v>
      </c>
      <c r="R79">
        <v>5.7</v>
      </c>
    </row>
    <row r="80" spans="1:18" x14ac:dyDescent="0.25">
      <c r="A80">
        <v>7.7</v>
      </c>
      <c r="B80">
        <v>3.1</v>
      </c>
      <c r="C80">
        <v>5.4</v>
      </c>
      <c r="E80">
        <v>2.1</v>
      </c>
      <c r="F80" t="s">
        <v>7</v>
      </c>
      <c r="G80" t="s">
        <v>7</v>
      </c>
      <c r="Q80">
        <v>5.4</v>
      </c>
      <c r="R80">
        <v>5.4</v>
      </c>
    </row>
    <row r="81" spans="1:18" x14ac:dyDescent="0.25">
      <c r="A81">
        <v>6.3</v>
      </c>
      <c r="B81">
        <v>3.1</v>
      </c>
      <c r="C81">
        <v>5.0999999999999996</v>
      </c>
      <c r="E81">
        <v>2.2999999999999998</v>
      </c>
      <c r="F81" t="s">
        <v>7</v>
      </c>
      <c r="G81" t="s">
        <v>7</v>
      </c>
      <c r="Q81">
        <v>5.0999999999999996</v>
      </c>
      <c r="R81">
        <v>5.0999999999999996</v>
      </c>
    </row>
    <row r="82" spans="1:18" x14ac:dyDescent="0.25">
      <c r="A82">
        <v>6.4</v>
      </c>
      <c r="B82">
        <v>3.2</v>
      </c>
      <c r="C82">
        <v>4.7</v>
      </c>
      <c r="E82">
        <v>1.4</v>
      </c>
      <c r="F82" t="s">
        <v>6</v>
      </c>
      <c r="G82" t="s">
        <v>6</v>
      </c>
      <c r="Q82">
        <v>4.7</v>
      </c>
      <c r="R82">
        <v>4.7</v>
      </c>
    </row>
    <row r="83" spans="1:18" x14ac:dyDescent="0.25">
      <c r="A83">
        <v>6.2</v>
      </c>
      <c r="B83">
        <v>3</v>
      </c>
      <c r="C83">
        <v>6.1</v>
      </c>
      <c r="E83">
        <v>2.2999999999999998</v>
      </c>
      <c r="F83" t="s">
        <v>7</v>
      </c>
      <c r="G83" t="s">
        <v>7</v>
      </c>
      <c r="Q83">
        <v>6.1</v>
      </c>
      <c r="R83">
        <v>6.1</v>
      </c>
    </row>
    <row r="84" spans="1:18" x14ac:dyDescent="0.25">
      <c r="A84">
        <v>5.9</v>
      </c>
      <c r="B84" s="6">
        <v>3.8</v>
      </c>
      <c r="C84" s="6">
        <v>6.4</v>
      </c>
      <c r="E84" s="6">
        <v>2</v>
      </c>
      <c r="F84" s="6" t="s">
        <v>7</v>
      </c>
      <c r="G84" s="6" t="s">
        <v>7</v>
      </c>
      <c r="Q84" s="6"/>
      <c r="R84" s="6"/>
    </row>
  </sheetData>
  <sortState ref="S2:S121">
    <sortCondition ref="S1"/>
  </sortState>
  <mergeCells count="43">
    <mergeCell ref="O26:O27"/>
    <mergeCell ref="O4:O5"/>
    <mergeCell ref="O6:O7"/>
    <mergeCell ref="O8:O9"/>
    <mergeCell ref="O10:O11"/>
    <mergeCell ref="O12:O13"/>
    <mergeCell ref="O14:O15"/>
    <mergeCell ref="O16:O17"/>
    <mergeCell ref="O18:O19"/>
    <mergeCell ref="O20:O21"/>
    <mergeCell ref="O22:O23"/>
    <mergeCell ref="O24:O25"/>
    <mergeCell ref="W4:W5"/>
    <mergeCell ref="W6:W7"/>
    <mergeCell ref="W8:W9"/>
    <mergeCell ref="W10:W11"/>
    <mergeCell ref="W12:W13"/>
    <mergeCell ref="O28:O29"/>
    <mergeCell ref="O30:O31"/>
    <mergeCell ref="O32:O33"/>
    <mergeCell ref="O34:O35"/>
    <mergeCell ref="O36:O37"/>
    <mergeCell ref="W36:W37"/>
    <mergeCell ref="W14:W15"/>
    <mergeCell ref="W16:W17"/>
    <mergeCell ref="W18:W19"/>
    <mergeCell ref="W20:W21"/>
    <mergeCell ref="W22:W23"/>
    <mergeCell ref="W24:W25"/>
    <mergeCell ref="W26:W27"/>
    <mergeCell ref="W28:W29"/>
    <mergeCell ref="W30:W31"/>
    <mergeCell ref="W32:W33"/>
    <mergeCell ref="W34:W35"/>
    <mergeCell ref="W50:W51"/>
    <mergeCell ref="W52:W53"/>
    <mergeCell ref="W54:W55"/>
    <mergeCell ref="W38:W39"/>
    <mergeCell ref="W40:W41"/>
    <mergeCell ref="W42:W43"/>
    <mergeCell ref="W44:W45"/>
    <mergeCell ref="W46:W47"/>
    <mergeCell ref="W48:W4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0"/>
  <sheetViews>
    <sheetView topLeftCell="A98" workbookViewId="0">
      <selection activeCell="P1" sqref="P1:P120"/>
    </sheetView>
  </sheetViews>
  <sheetFormatPr defaultRowHeight="15" x14ac:dyDescent="0.25"/>
  <cols>
    <col min="1" max="1" width="9.140625" style="3"/>
    <col min="6" max="6" width="11.5703125" style="3" customWidth="1"/>
    <col min="11" max="11" width="9.140625" style="3"/>
  </cols>
  <sheetData>
    <row r="1" spans="1:19" x14ac:dyDescent="0.25">
      <c r="A1" s="1">
        <v>4.4000000000000004</v>
      </c>
      <c r="F1" s="1">
        <v>2</v>
      </c>
      <c r="K1" s="1">
        <v>1</v>
      </c>
      <c r="P1" s="1">
        <v>0.1</v>
      </c>
    </row>
    <row r="2" spans="1:19" x14ac:dyDescent="0.25">
      <c r="A2" s="1">
        <v>4.4000000000000004</v>
      </c>
      <c r="F2" s="1">
        <v>2.2000000000000002</v>
      </c>
      <c r="K2" s="1">
        <v>1.1000000000000001</v>
      </c>
      <c r="P2" s="1">
        <v>0.1</v>
      </c>
    </row>
    <row r="3" spans="1:19" x14ac:dyDescent="0.25">
      <c r="A3" s="1">
        <v>4.5</v>
      </c>
      <c r="F3" s="1">
        <v>2.2000000000000002</v>
      </c>
      <c r="K3" s="1">
        <v>1.2</v>
      </c>
      <c r="P3" s="1">
        <v>0.1</v>
      </c>
    </row>
    <row r="4" spans="1:19" x14ac:dyDescent="0.25">
      <c r="A4" s="1">
        <v>4.5999999999999996</v>
      </c>
      <c r="F4" s="1">
        <v>2.2000000000000002</v>
      </c>
      <c r="K4" s="1">
        <v>1.2</v>
      </c>
      <c r="P4" s="1">
        <v>0.1</v>
      </c>
    </row>
    <row r="5" spans="1:19" x14ac:dyDescent="0.25">
      <c r="A5" s="1">
        <v>4.5999999999999996</v>
      </c>
      <c r="F5" s="1">
        <v>2.2999999999999998</v>
      </c>
      <c r="K5" s="1">
        <v>1.3</v>
      </c>
      <c r="P5" s="1">
        <v>0.2</v>
      </c>
    </row>
    <row r="6" spans="1:19" x14ac:dyDescent="0.25">
      <c r="A6" s="1">
        <v>4.5999999999999996</v>
      </c>
      <c r="C6" s="27" t="s">
        <v>36</v>
      </c>
      <c r="D6" s="27"/>
      <c r="F6" s="1">
        <v>2.2999999999999998</v>
      </c>
      <c r="H6" s="27" t="s">
        <v>38</v>
      </c>
      <c r="I6" s="27"/>
      <c r="K6" s="1">
        <v>1.3</v>
      </c>
      <c r="M6" s="27" t="s">
        <v>39</v>
      </c>
      <c r="N6" s="27"/>
      <c r="P6" s="1">
        <v>0.2</v>
      </c>
      <c r="R6" s="27" t="s">
        <v>40</v>
      </c>
      <c r="S6" s="27"/>
    </row>
    <row r="7" spans="1:19" x14ac:dyDescent="0.25">
      <c r="A7" s="1">
        <v>4.5999999999999996</v>
      </c>
      <c r="C7" t="s">
        <v>35</v>
      </c>
      <c r="D7">
        <f>D14-D13</f>
        <v>3.5</v>
      </c>
      <c r="F7" s="1">
        <v>2.2999999999999998</v>
      </c>
      <c r="H7" t="s">
        <v>35</v>
      </c>
      <c r="I7">
        <f>I14-I13</f>
        <v>2.4000000000000004</v>
      </c>
      <c r="K7" s="1">
        <v>1.3</v>
      </c>
      <c r="M7" t="s">
        <v>35</v>
      </c>
      <c r="N7">
        <f>N14-N13</f>
        <v>5.4</v>
      </c>
      <c r="P7" s="1">
        <v>0.2</v>
      </c>
      <c r="R7" t="s">
        <v>35</v>
      </c>
      <c r="S7">
        <f>S14-S13</f>
        <v>2.4</v>
      </c>
    </row>
    <row r="8" spans="1:19" x14ac:dyDescent="0.25">
      <c r="A8" s="1">
        <v>4.7</v>
      </c>
      <c r="C8" t="s">
        <v>34</v>
      </c>
      <c r="D8">
        <f>MODE(A1:A120)</f>
        <v>5</v>
      </c>
      <c r="F8" s="1">
        <v>2.4</v>
      </c>
      <c r="H8" t="s">
        <v>34</v>
      </c>
      <c r="I8">
        <f>MODE(F1:F120)</f>
        <v>3</v>
      </c>
      <c r="K8" s="1">
        <v>1.3</v>
      </c>
      <c r="M8" t="s">
        <v>34</v>
      </c>
      <c r="N8">
        <f>MODE(K1:K120)</f>
        <v>1.5</v>
      </c>
      <c r="P8" s="1">
        <v>0.2</v>
      </c>
      <c r="R8" t="s">
        <v>34</v>
      </c>
      <c r="S8">
        <f>MODE(P1:P120)</f>
        <v>0.2</v>
      </c>
    </row>
    <row r="9" spans="1:19" x14ac:dyDescent="0.25">
      <c r="A9" s="1">
        <v>4.7</v>
      </c>
      <c r="C9" t="s">
        <v>33</v>
      </c>
      <c r="D9">
        <f>AVERAGE(A1:A120)</f>
        <v>5.8533333333333371</v>
      </c>
      <c r="F9" s="1">
        <v>2.5</v>
      </c>
      <c r="H9" t="s">
        <v>33</v>
      </c>
      <c r="I9">
        <f>AVERAGE(F1:F120)</f>
        <v>3.0791666666666648</v>
      </c>
      <c r="K9" s="1">
        <v>1.3</v>
      </c>
      <c r="M9" t="s">
        <v>33</v>
      </c>
      <c r="N9">
        <f>AVERAGE(K1:K120)</f>
        <v>3.7116666666666687</v>
      </c>
      <c r="P9" s="1">
        <v>0.2</v>
      </c>
      <c r="R9" t="s">
        <v>33</v>
      </c>
      <c r="S9">
        <f>AVERAGE(P1:P120)</f>
        <v>1.2100000000000002</v>
      </c>
    </row>
    <row r="10" spans="1:19" x14ac:dyDescent="0.25">
      <c r="A10" s="1">
        <v>4.8</v>
      </c>
      <c r="C10" t="s">
        <v>30</v>
      </c>
      <c r="D10">
        <f>AVERAGE(A60,A61)</f>
        <v>5.75</v>
      </c>
      <c r="F10" s="1">
        <v>2.5</v>
      </c>
      <c r="H10" t="s">
        <v>30</v>
      </c>
      <c r="I10">
        <f>AVERAGE(F60,F61)</f>
        <v>3</v>
      </c>
      <c r="K10" s="1">
        <v>1.3</v>
      </c>
      <c r="M10" t="s">
        <v>30</v>
      </c>
      <c r="N10">
        <f>AVERAGE(K60,K61)</f>
        <v>4.45</v>
      </c>
      <c r="P10" s="1">
        <v>0.2</v>
      </c>
      <c r="R10" t="s">
        <v>30</v>
      </c>
      <c r="S10">
        <f>AVERAGE(P60,P61)</f>
        <v>1.4</v>
      </c>
    </row>
    <row r="11" spans="1:19" x14ac:dyDescent="0.25">
      <c r="A11" s="1">
        <v>4.8</v>
      </c>
      <c r="C11" t="s">
        <v>31</v>
      </c>
      <c r="D11">
        <f>AVERAGE(A30,A31)</f>
        <v>5.0999999999999996</v>
      </c>
      <c r="F11" s="1">
        <v>2.5</v>
      </c>
      <c r="H11" t="s">
        <v>31</v>
      </c>
      <c r="I11">
        <f>AVERAGE(F30,F31)</f>
        <v>2.8</v>
      </c>
      <c r="K11" s="1">
        <v>1.4</v>
      </c>
      <c r="M11" t="s">
        <v>31</v>
      </c>
      <c r="N11">
        <f>AVERAGE(K30,K31)</f>
        <v>1.5</v>
      </c>
      <c r="P11" s="1">
        <v>0.2</v>
      </c>
      <c r="R11" t="s">
        <v>31</v>
      </c>
      <c r="S11">
        <f>AVERAGE(P30,P31)</f>
        <v>0.3</v>
      </c>
    </row>
    <row r="12" spans="1:19" x14ac:dyDescent="0.25">
      <c r="A12" s="1">
        <v>4.8</v>
      </c>
      <c r="C12" t="s">
        <v>32</v>
      </c>
      <c r="D12">
        <f>AVERAGE(A90,A91)</f>
        <v>6.4</v>
      </c>
      <c r="F12" s="1">
        <v>2.5</v>
      </c>
      <c r="H12" t="s">
        <v>32</v>
      </c>
      <c r="I12">
        <f>AVERAGE(F90,F91)</f>
        <v>3.4</v>
      </c>
      <c r="K12" s="1">
        <v>1.4</v>
      </c>
      <c r="M12" t="s">
        <v>32</v>
      </c>
      <c r="N12">
        <f>AVERAGE(K90,K91)</f>
        <v>5.0999999999999996</v>
      </c>
      <c r="P12" s="1">
        <v>0.2</v>
      </c>
      <c r="R12" t="s">
        <v>32</v>
      </c>
      <c r="S12">
        <f>AVERAGE(P90,P91)</f>
        <v>1.8</v>
      </c>
    </row>
    <row r="13" spans="1:19" x14ac:dyDescent="0.25">
      <c r="A13" s="1">
        <v>4.9000000000000004</v>
      </c>
      <c r="C13" t="s">
        <v>27</v>
      </c>
      <c r="D13">
        <f>MIN(A1:A120)</f>
        <v>4.4000000000000004</v>
      </c>
      <c r="F13" s="1">
        <v>2.5</v>
      </c>
      <c r="H13" t="s">
        <v>27</v>
      </c>
      <c r="I13">
        <f>MIN(F1:F120)</f>
        <v>2</v>
      </c>
      <c r="K13" s="1">
        <v>1.4</v>
      </c>
      <c r="M13" t="s">
        <v>27</v>
      </c>
      <c r="N13">
        <f>MIN(K1:K120)</f>
        <v>1</v>
      </c>
      <c r="P13" s="1">
        <v>0.2</v>
      </c>
      <c r="R13" t="s">
        <v>27</v>
      </c>
      <c r="S13">
        <f>MIN(P1:P120)</f>
        <v>0.1</v>
      </c>
    </row>
    <row r="14" spans="1:19" x14ac:dyDescent="0.25">
      <c r="A14" s="1">
        <v>4.9000000000000004</v>
      </c>
      <c r="C14" t="s">
        <v>28</v>
      </c>
      <c r="D14">
        <f>MAX(A1,A120)</f>
        <v>7.9</v>
      </c>
      <c r="F14" s="1">
        <v>2.5</v>
      </c>
      <c r="H14" t="s">
        <v>37</v>
      </c>
      <c r="I14">
        <f>MAX(F1:F120)</f>
        <v>4.4000000000000004</v>
      </c>
      <c r="K14" s="1">
        <v>1.4</v>
      </c>
      <c r="M14" t="s">
        <v>37</v>
      </c>
      <c r="N14">
        <f>MAX(K1:K120)</f>
        <v>6.4</v>
      </c>
      <c r="P14" s="1">
        <v>0.2</v>
      </c>
      <c r="R14" t="s">
        <v>37</v>
      </c>
      <c r="S14">
        <f>MAX(P1:P120)</f>
        <v>2.5</v>
      </c>
    </row>
    <row r="15" spans="1:19" x14ac:dyDescent="0.25">
      <c r="A15" s="1">
        <v>4.9000000000000004</v>
      </c>
      <c r="F15" s="1">
        <v>2.6</v>
      </c>
      <c r="K15" s="1">
        <v>1.4</v>
      </c>
      <c r="P15" s="1">
        <v>0.2</v>
      </c>
    </row>
    <row r="16" spans="1:19" x14ac:dyDescent="0.25">
      <c r="A16" s="1">
        <v>4.9000000000000004</v>
      </c>
      <c r="F16" s="1">
        <v>2.6</v>
      </c>
      <c r="K16" s="1">
        <v>1.4</v>
      </c>
      <c r="P16" s="1">
        <v>0.2</v>
      </c>
    </row>
    <row r="17" spans="1:16" x14ac:dyDescent="0.25">
      <c r="A17" s="1">
        <v>5</v>
      </c>
      <c r="F17" s="1">
        <v>2.6</v>
      </c>
      <c r="K17" s="1">
        <v>1.4</v>
      </c>
      <c r="P17" s="1">
        <v>0.2</v>
      </c>
    </row>
    <row r="18" spans="1:16" x14ac:dyDescent="0.25">
      <c r="A18" s="1">
        <v>5</v>
      </c>
      <c r="F18" s="1">
        <v>2.7</v>
      </c>
      <c r="K18" s="1">
        <v>1.4</v>
      </c>
      <c r="P18" s="1">
        <v>0.2</v>
      </c>
    </row>
    <row r="19" spans="1:16" x14ac:dyDescent="0.25">
      <c r="A19" s="1">
        <v>5</v>
      </c>
      <c r="F19" s="1">
        <v>2.7</v>
      </c>
      <c r="K19" s="1">
        <v>1.5</v>
      </c>
      <c r="P19" s="1">
        <v>0.2</v>
      </c>
    </row>
    <row r="20" spans="1:16" x14ac:dyDescent="0.25">
      <c r="A20" s="1">
        <v>5</v>
      </c>
      <c r="F20" s="1">
        <v>2.7</v>
      </c>
      <c r="K20" s="1">
        <v>1.5</v>
      </c>
      <c r="P20" s="1">
        <v>0.2</v>
      </c>
    </row>
    <row r="21" spans="1:16" x14ac:dyDescent="0.25">
      <c r="A21" s="1">
        <v>5</v>
      </c>
      <c r="F21" s="1">
        <v>2.7</v>
      </c>
      <c r="K21" s="1">
        <v>1.5</v>
      </c>
      <c r="P21" s="1">
        <v>0.2</v>
      </c>
    </row>
    <row r="22" spans="1:16" x14ac:dyDescent="0.25">
      <c r="A22" s="1">
        <v>5</v>
      </c>
      <c r="F22" s="1">
        <v>2.7</v>
      </c>
      <c r="K22" s="1">
        <v>1.5</v>
      </c>
      <c r="P22" s="1">
        <v>0.2</v>
      </c>
    </row>
    <row r="23" spans="1:16" x14ac:dyDescent="0.25">
      <c r="A23" s="1">
        <v>5</v>
      </c>
      <c r="F23" s="1">
        <v>2.7</v>
      </c>
      <c r="K23" s="1">
        <v>1.5</v>
      </c>
      <c r="P23" s="1">
        <v>0.2</v>
      </c>
    </row>
    <row r="24" spans="1:16" x14ac:dyDescent="0.25">
      <c r="A24" s="1">
        <v>5</v>
      </c>
      <c r="F24" s="1">
        <v>2.7</v>
      </c>
      <c r="K24" s="1">
        <v>1.5</v>
      </c>
      <c r="P24" s="1">
        <v>0.2</v>
      </c>
    </row>
    <row r="25" spans="1:16" x14ac:dyDescent="0.25">
      <c r="A25" s="1">
        <v>5</v>
      </c>
      <c r="F25" s="1">
        <v>2.7</v>
      </c>
      <c r="K25" s="1">
        <v>1.5</v>
      </c>
      <c r="P25" s="1">
        <v>0.2</v>
      </c>
    </row>
    <row r="26" spans="1:16" x14ac:dyDescent="0.25">
      <c r="A26" s="1">
        <v>5.0999999999999996</v>
      </c>
      <c r="F26" s="1">
        <v>2.8</v>
      </c>
      <c r="K26" s="1">
        <v>1.5</v>
      </c>
      <c r="P26" s="1">
        <v>0.3</v>
      </c>
    </row>
    <row r="27" spans="1:16" x14ac:dyDescent="0.25">
      <c r="A27" s="1">
        <v>5.0999999999999996</v>
      </c>
      <c r="F27" s="1">
        <v>2.8</v>
      </c>
      <c r="K27" s="1">
        <v>1.5</v>
      </c>
      <c r="P27" s="1">
        <v>0.3</v>
      </c>
    </row>
    <row r="28" spans="1:16" x14ac:dyDescent="0.25">
      <c r="A28" s="1">
        <v>5.0999999999999996</v>
      </c>
      <c r="F28" s="1">
        <v>2.8</v>
      </c>
      <c r="K28" s="1">
        <v>1.5</v>
      </c>
      <c r="P28" s="1">
        <v>0.3</v>
      </c>
    </row>
    <row r="29" spans="1:16" x14ac:dyDescent="0.25">
      <c r="A29" s="1">
        <v>5.0999999999999996</v>
      </c>
      <c r="F29" s="1">
        <v>2.8</v>
      </c>
      <c r="K29" s="1">
        <v>1.5</v>
      </c>
      <c r="P29" s="1">
        <v>0.3</v>
      </c>
    </row>
    <row r="30" spans="1:16" x14ac:dyDescent="0.25">
      <c r="A30" s="1">
        <v>5.0999999999999996</v>
      </c>
      <c r="F30" s="1">
        <v>2.8</v>
      </c>
      <c r="K30" s="1">
        <v>1.5</v>
      </c>
      <c r="P30" s="1">
        <v>0.3</v>
      </c>
    </row>
    <row r="31" spans="1:16" x14ac:dyDescent="0.25">
      <c r="A31" s="7">
        <v>5.0999999999999996</v>
      </c>
      <c r="F31" s="7">
        <v>2.8</v>
      </c>
      <c r="K31" s="7">
        <v>1.5</v>
      </c>
      <c r="P31" s="7">
        <v>0.3</v>
      </c>
    </row>
    <row r="32" spans="1:16" x14ac:dyDescent="0.25">
      <c r="A32" s="7">
        <v>5.0999999999999996</v>
      </c>
      <c r="F32" s="7">
        <v>2.8</v>
      </c>
      <c r="K32" s="7">
        <v>1.6</v>
      </c>
      <c r="P32" s="7">
        <v>0.4</v>
      </c>
    </row>
    <row r="33" spans="1:16" x14ac:dyDescent="0.25">
      <c r="A33" s="7">
        <v>5.0999999999999996</v>
      </c>
      <c r="F33" s="7">
        <v>2.8</v>
      </c>
      <c r="K33" s="7">
        <v>1.6</v>
      </c>
      <c r="P33" s="7">
        <v>0.4</v>
      </c>
    </row>
    <row r="34" spans="1:16" x14ac:dyDescent="0.25">
      <c r="A34" s="7">
        <v>5.2</v>
      </c>
      <c r="F34" s="7">
        <v>2.8</v>
      </c>
      <c r="K34" s="7">
        <v>1.6</v>
      </c>
      <c r="P34" s="7">
        <v>0.4</v>
      </c>
    </row>
    <row r="35" spans="1:16" x14ac:dyDescent="0.25">
      <c r="A35" s="7">
        <v>5.2</v>
      </c>
      <c r="F35" s="7">
        <v>2.8</v>
      </c>
      <c r="K35" s="7">
        <v>1.6</v>
      </c>
      <c r="P35" s="7">
        <v>0.4</v>
      </c>
    </row>
    <row r="36" spans="1:16" x14ac:dyDescent="0.25">
      <c r="A36" s="7">
        <v>5.2</v>
      </c>
      <c r="F36" s="7">
        <v>2.8</v>
      </c>
      <c r="K36" s="7">
        <v>1.7</v>
      </c>
      <c r="P36" s="7">
        <v>0.4</v>
      </c>
    </row>
    <row r="37" spans="1:16" x14ac:dyDescent="0.25">
      <c r="A37" s="7">
        <v>5.3</v>
      </c>
      <c r="F37" s="7">
        <v>2.8</v>
      </c>
      <c r="K37" s="7">
        <v>1.7</v>
      </c>
      <c r="P37" s="7">
        <v>0.4</v>
      </c>
    </row>
    <row r="38" spans="1:16" x14ac:dyDescent="0.25">
      <c r="A38" s="7">
        <v>5.4</v>
      </c>
      <c r="F38" s="7">
        <v>2.9</v>
      </c>
      <c r="K38" s="7">
        <v>1.7</v>
      </c>
      <c r="P38" s="7">
        <v>0.4</v>
      </c>
    </row>
    <row r="39" spans="1:16" x14ac:dyDescent="0.25">
      <c r="A39" s="7">
        <v>5.4</v>
      </c>
      <c r="F39" s="7">
        <v>2.9</v>
      </c>
      <c r="K39" s="7">
        <v>1.7</v>
      </c>
      <c r="P39" s="7">
        <v>0.5</v>
      </c>
    </row>
    <row r="40" spans="1:16" x14ac:dyDescent="0.25">
      <c r="A40" s="7">
        <v>5.4</v>
      </c>
      <c r="F40" s="7">
        <v>2.9</v>
      </c>
      <c r="K40" s="7">
        <v>1.9</v>
      </c>
      <c r="P40" s="7">
        <v>0.6</v>
      </c>
    </row>
    <row r="41" spans="1:16" x14ac:dyDescent="0.25">
      <c r="A41" s="7">
        <v>5.4</v>
      </c>
      <c r="F41" s="7">
        <v>2.9</v>
      </c>
      <c r="K41" s="7">
        <v>3</v>
      </c>
      <c r="P41" s="7">
        <v>1</v>
      </c>
    </row>
    <row r="42" spans="1:16" x14ac:dyDescent="0.25">
      <c r="A42" s="7">
        <v>5.5</v>
      </c>
      <c r="F42" s="7">
        <v>2.9</v>
      </c>
      <c r="K42" s="7">
        <v>3.3</v>
      </c>
      <c r="P42" s="7">
        <v>1</v>
      </c>
    </row>
    <row r="43" spans="1:16" x14ac:dyDescent="0.25">
      <c r="A43" s="7">
        <v>5.5</v>
      </c>
      <c r="F43" s="7">
        <v>2.9</v>
      </c>
      <c r="K43" s="7">
        <v>3.3</v>
      </c>
      <c r="P43" s="7">
        <v>1</v>
      </c>
    </row>
    <row r="44" spans="1:16" x14ac:dyDescent="0.25">
      <c r="A44" s="7">
        <v>5.5</v>
      </c>
      <c r="F44" s="7">
        <v>2.9</v>
      </c>
      <c r="K44" s="7">
        <v>3.5</v>
      </c>
      <c r="P44" s="7">
        <v>1</v>
      </c>
    </row>
    <row r="45" spans="1:16" x14ac:dyDescent="0.25">
      <c r="A45" s="7">
        <v>5.5</v>
      </c>
      <c r="F45" s="7">
        <v>2.9</v>
      </c>
      <c r="K45" s="7">
        <v>3.5</v>
      </c>
      <c r="P45" s="7">
        <v>1</v>
      </c>
    </row>
    <row r="46" spans="1:16" x14ac:dyDescent="0.25">
      <c r="A46" s="7">
        <v>5.5</v>
      </c>
      <c r="F46" s="7">
        <v>3</v>
      </c>
      <c r="K46" s="7">
        <v>3.9</v>
      </c>
      <c r="P46" s="7">
        <v>1</v>
      </c>
    </row>
    <row r="47" spans="1:16" x14ac:dyDescent="0.25">
      <c r="A47" s="7">
        <v>5.5</v>
      </c>
      <c r="F47" s="7">
        <v>3</v>
      </c>
      <c r="K47" s="7">
        <v>3.9</v>
      </c>
      <c r="P47" s="7">
        <v>1.1000000000000001</v>
      </c>
    </row>
    <row r="48" spans="1:16" x14ac:dyDescent="0.25">
      <c r="A48" s="7">
        <v>5.5</v>
      </c>
      <c r="F48" s="7">
        <v>3</v>
      </c>
      <c r="K48" s="7">
        <v>4</v>
      </c>
      <c r="P48" s="7">
        <v>1.2</v>
      </c>
    </row>
    <row r="49" spans="1:16" x14ac:dyDescent="0.25">
      <c r="A49" s="7">
        <v>5.6</v>
      </c>
      <c r="F49" s="7">
        <v>3</v>
      </c>
      <c r="K49" s="7">
        <v>4</v>
      </c>
      <c r="P49" s="7">
        <v>1.2</v>
      </c>
    </row>
    <row r="50" spans="1:16" x14ac:dyDescent="0.25">
      <c r="A50" s="7">
        <v>5.6</v>
      </c>
      <c r="F50" s="7">
        <v>3</v>
      </c>
      <c r="K50" s="7">
        <v>4</v>
      </c>
      <c r="P50" s="7">
        <v>1.2</v>
      </c>
    </row>
    <row r="51" spans="1:16" x14ac:dyDescent="0.25">
      <c r="A51" s="7">
        <v>5.6</v>
      </c>
      <c r="F51" s="7">
        <v>3</v>
      </c>
      <c r="K51" s="7">
        <v>4.0999999999999996</v>
      </c>
      <c r="P51" s="7">
        <v>1.2</v>
      </c>
    </row>
    <row r="52" spans="1:16" x14ac:dyDescent="0.25">
      <c r="A52" s="7">
        <v>5.6</v>
      </c>
      <c r="F52" s="7">
        <v>3</v>
      </c>
      <c r="K52" s="7">
        <v>4.0999999999999996</v>
      </c>
      <c r="P52" s="7">
        <v>1.3</v>
      </c>
    </row>
    <row r="53" spans="1:16" x14ac:dyDescent="0.25">
      <c r="A53" s="7">
        <v>5.6</v>
      </c>
      <c r="F53" s="7">
        <v>3</v>
      </c>
      <c r="K53" s="7">
        <v>4.2</v>
      </c>
      <c r="P53" s="7">
        <v>1.3</v>
      </c>
    </row>
    <row r="54" spans="1:16" x14ac:dyDescent="0.25">
      <c r="A54" s="7">
        <v>5.6</v>
      </c>
      <c r="F54" s="7">
        <v>3</v>
      </c>
      <c r="K54" s="7">
        <v>4.2</v>
      </c>
      <c r="P54" s="7">
        <v>1.3</v>
      </c>
    </row>
    <row r="55" spans="1:16" x14ac:dyDescent="0.25">
      <c r="A55" s="7">
        <v>5.7</v>
      </c>
      <c r="F55" s="7">
        <v>3</v>
      </c>
      <c r="K55" s="7">
        <v>4.2</v>
      </c>
      <c r="P55" s="7">
        <v>1.3</v>
      </c>
    </row>
    <row r="56" spans="1:16" x14ac:dyDescent="0.25">
      <c r="A56" s="7">
        <v>5.7</v>
      </c>
      <c r="F56" s="7">
        <v>3</v>
      </c>
      <c r="K56" s="7">
        <v>4.3</v>
      </c>
      <c r="P56" s="7">
        <v>1.3</v>
      </c>
    </row>
    <row r="57" spans="1:16" x14ac:dyDescent="0.25">
      <c r="A57" s="7">
        <v>5.7</v>
      </c>
      <c r="F57" s="7">
        <v>3</v>
      </c>
      <c r="K57" s="7">
        <v>4.3</v>
      </c>
      <c r="P57" s="7">
        <v>1.3</v>
      </c>
    </row>
    <row r="58" spans="1:16" x14ac:dyDescent="0.25">
      <c r="A58" s="7">
        <v>5.7</v>
      </c>
      <c r="F58" s="7">
        <v>3</v>
      </c>
      <c r="K58" s="7">
        <v>4.4000000000000004</v>
      </c>
      <c r="P58" s="7">
        <v>1.3</v>
      </c>
    </row>
    <row r="59" spans="1:16" x14ac:dyDescent="0.25">
      <c r="A59" s="7">
        <v>5.7</v>
      </c>
      <c r="F59" s="7">
        <v>3</v>
      </c>
      <c r="K59" s="7">
        <v>4.4000000000000004</v>
      </c>
      <c r="P59" s="7">
        <v>1.3</v>
      </c>
    </row>
    <row r="60" spans="1:16" x14ac:dyDescent="0.25">
      <c r="A60" s="7">
        <v>5.7</v>
      </c>
      <c r="F60" s="7">
        <v>3</v>
      </c>
      <c r="K60" s="7">
        <v>4.4000000000000004</v>
      </c>
      <c r="P60" s="7">
        <v>1.4</v>
      </c>
    </row>
    <row r="61" spans="1:16" x14ac:dyDescent="0.25">
      <c r="A61" s="8">
        <v>5.8</v>
      </c>
      <c r="F61" s="8">
        <v>3</v>
      </c>
      <c r="K61" s="8">
        <v>4.5</v>
      </c>
      <c r="P61" s="8">
        <v>1.4</v>
      </c>
    </row>
    <row r="62" spans="1:16" x14ac:dyDescent="0.25">
      <c r="A62" s="8">
        <v>5.8</v>
      </c>
      <c r="F62" s="8">
        <v>3</v>
      </c>
      <c r="K62" s="8">
        <v>4.5</v>
      </c>
      <c r="P62" s="8">
        <v>1.4</v>
      </c>
    </row>
    <row r="63" spans="1:16" x14ac:dyDescent="0.25">
      <c r="A63" s="8">
        <v>5.8</v>
      </c>
      <c r="F63" s="8">
        <v>3</v>
      </c>
      <c r="K63" s="8">
        <v>4.5</v>
      </c>
      <c r="P63" s="8">
        <v>1.4</v>
      </c>
    </row>
    <row r="64" spans="1:16" x14ac:dyDescent="0.25">
      <c r="A64" s="8">
        <v>5.8</v>
      </c>
      <c r="F64" s="8">
        <v>3.1</v>
      </c>
      <c r="K64" s="8">
        <v>4.5</v>
      </c>
      <c r="P64" s="8">
        <v>1.4</v>
      </c>
    </row>
    <row r="65" spans="1:16" x14ac:dyDescent="0.25">
      <c r="A65" s="8">
        <v>5.8</v>
      </c>
      <c r="F65" s="8">
        <v>3.1</v>
      </c>
      <c r="K65" s="8">
        <v>4.5</v>
      </c>
      <c r="P65" s="8">
        <v>1.4</v>
      </c>
    </row>
    <row r="66" spans="1:16" x14ac:dyDescent="0.25">
      <c r="A66" s="8">
        <v>5.9</v>
      </c>
      <c r="F66" s="8">
        <v>3.1</v>
      </c>
      <c r="K66" s="8">
        <v>4.5</v>
      </c>
      <c r="P66" s="8">
        <v>1.4</v>
      </c>
    </row>
    <row r="67" spans="1:16" x14ac:dyDescent="0.25">
      <c r="A67" s="8">
        <v>5.9</v>
      </c>
      <c r="F67" s="8">
        <v>3.1</v>
      </c>
      <c r="K67" s="8">
        <v>4.5</v>
      </c>
      <c r="P67" s="8">
        <v>1.4</v>
      </c>
    </row>
    <row r="68" spans="1:16" x14ac:dyDescent="0.25">
      <c r="A68" s="8">
        <v>6</v>
      </c>
      <c r="F68" s="8">
        <v>3.1</v>
      </c>
      <c r="K68" s="8">
        <v>4.5999999999999996</v>
      </c>
      <c r="P68" s="8">
        <v>1.5</v>
      </c>
    </row>
    <row r="69" spans="1:16" x14ac:dyDescent="0.25">
      <c r="A69" s="8">
        <v>6</v>
      </c>
      <c r="F69" s="8">
        <v>3.1</v>
      </c>
      <c r="K69" s="8">
        <v>4.5999999999999996</v>
      </c>
      <c r="P69" s="8">
        <v>1.5</v>
      </c>
    </row>
    <row r="70" spans="1:16" x14ac:dyDescent="0.25">
      <c r="A70" s="8">
        <v>6</v>
      </c>
      <c r="F70" s="8">
        <v>3.1</v>
      </c>
      <c r="K70" s="8">
        <v>4.5999999999999996</v>
      </c>
      <c r="P70" s="8">
        <v>1.5</v>
      </c>
    </row>
    <row r="71" spans="1:16" x14ac:dyDescent="0.25">
      <c r="A71" s="8">
        <v>6</v>
      </c>
      <c r="F71" s="8">
        <v>3.1</v>
      </c>
      <c r="K71" s="8">
        <v>4.7</v>
      </c>
      <c r="P71" s="8">
        <v>1.5</v>
      </c>
    </row>
    <row r="72" spans="1:16" x14ac:dyDescent="0.25">
      <c r="A72" s="8">
        <v>6.1</v>
      </c>
      <c r="F72" s="8">
        <v>3.1</v>
      </c>
      <c r="K72" s="8">
        <v>4.7</v>
      </c>
      <c r="P72" s="8">
        <v>1.5</v>
      </c>
    </row>
    <row r="73" spans="1:16" x14ac:dyDescent="0.25">
      <c r="A73" s="8">
        <v>6.1</v>
      </c>
      <c r="F73" s="8">
        <v>3.1</v>
      </c>
      <c r="K73" s="8">
        <v>4.7</v>
      </c>
      <c r="P73" s="8">
        <v>1.5</v>
      </c>
    </row>
    <row r="74" spans="1:16" x14ac:dyDescent="0.25">
      <c r="A74" s="8">
        <v>6.1</v>
      </c>
      <c r="F74" s="8">
        <v>3.2</v>
      </c>
      <c r="K74" s="8">
        <v>4.7</v>
      </c>
      <c r="P74" s="8">
        <v>1.5</v>
      </c>
    </row>
    <row r="75" spans="1:16" x14ac:dyDescent="0.25">
      <c r="A75" s="8">
        <v>6.1</v>
      </c>
      <c r="F75" s="8">
        <v>3.2</v>
      </c>
      <c r="K75" s="8">
        <v>4.7</v>
      </c>
      <c r="P75" s="8">
        <v>1.5</v>
      </c>
    </row>
    <row r="76" spans="1:16" x14ac:dyDescent="0.25">
      <c r="A76" s="8">
        <v>6.1</v>
      </c>
      <c r="F76" s="8">
        <v>3.2</v>
      </c>
      <c r="K76" s="8">
        <v>4.8</v>
      </c>
      <c r="P76" s="8">
        <v>1.5</v>
      </c>
    </row>
    <row r="77" spans="1:16" x14ac:dyDescent="0.25">
      <c r="A77" s="8">
        <v>6.2</v>
      </c>
      <c r="F77" s="8">
        <v>3.2</v>
      </c>
      <c r="K77" s="8">
        <v>4.8</v>
      </c>
      <c r="P77" s="8">
        <v>1.5</v>
      </c>
    </row>
    <row r="78" spans="1:16" x14ac:dyDescent="0.25">
      <c r="A78" s="8">
        <v>6.2</v>
      </c>
      <c r="F78" s="8">
        <v>3.2</v>
      </c>
      <c r="K78" s="8">
        <v>4.8</v>
      </c>
      <c r="P78" s="8">
        <v>1.5</v>
      </c>
    </row>
    <row r="79" spans="1:16" x14ac:dyDescent="0.25">
      <c r="A79" s="8">
        <v>6.2</v>
      </c>
      <c r="F79" s="8">
        <v>3.2</v>
      </c>
      <c r="K79" s="8">
        <v>4.8</v>
      </c>
      <c r="P79" s="8">
        <v>1.6</v>
      </c>
    </row>
    <row r="80" spans="1:16" x14ac:dyDescent="0.25">
      <c r="A80" s="8">
        <v>6.2</v>
      </c>
      <c r="F80" s="8">
        <v>3.2</v>
      </c>
      <c r="K80" s="8">
        <v>4.9000000000000004</v>
      </c>
      <c r="P80" s="8">
        <v>1.6</v>
      </c>
    </row>
    <row r="81" spans="1:16" x14ac:dyDescent="0.25">
      <c r="A81" s="8">
        <v>6.3</v>
      </c>
      <c r="F81" s="8">
        <v>3.2</v>
      </c>
      <c r="K81" s="8">
        <v>4.9000000000000004</v>
      </c>
      <c r="P81" s="8">
        <v>1.6</v>
      </c>
    </row>
    <row r="82" spans="1:16" x14ac:dyDescent="0.25">
      <c r="A82" s="8">
        <v>6.3</v>
      </c>
      <c r="F82" s="8">
        <v>3.2</v>
      </c>
      <c r="K82" s="8">
        <v>4.9000000000000004</v>
      </c>
      <c r="P82" s="8">
        <v>1.7</v>
      </c>
    </row>
    <row r="83" spans="1:16" x14ac:dyDescent="0.25">
      <c r="A83" s="8">
        <v>6.3</v>
      </c>
      <c r="F83" s="8">
        <v>3.3</v>
      </c>
      <c r="K83" s="8">
        <v>4.9000000000000004</v>
      </c>
      <c r="P83" s="8">
        <v>1.7</v>
      </c>
    </row>
    <row r="84" spans="1:16" x14ac:dyDescent="0.25">
      <c r="A84" s="8">
        <v>6.3</v>
      </c>
      <c r="F84" s="8">
        <v>3.3</v>
      </c>
      <c r="K84" s="8">
        <v>4.9000000000000004</v>
      </c>
      <c r="P84" s="8">
        <v>1.8</v>
      </c>
    </row>
    <row r="85" spans="1:16" x14ac:dyDescent="0.25">
      <c r="A85" s="8">
        <v>6.3</v>
      </c>
      <c r="F85" s="8">
        <v>3.3</v>
      </c>
      <c r="K85" s="8">
        <v>5</v>
      </c>
      <c r="P85" s="8">
        <v>1.8</v>
      </c>
    </row>
    <row r="86" spans="1:16" x14ac:dyDescent="0.25">
      <c r="A86" s="8">
        <v>6.3</v>
      </c>
      <c r="F86" s="8">
        <v>3.3</v>
      </c>
      <c r="K86" s="8">
        <v>5</v>
      </c>
      <c r="P86" s="8">
        <v>1.8</v>
      </c>
    </row>
    <row r="87" spans="1:16" x14ac:dyDescent="0.25">
      <c r="A87" s="8">
        <v>6.3</v>
      </c>
      <c r="F87" s="8">
        <v>3.3</v>
      </c>
      <c r="K87" s="8">
        <v>5</v>
      </c>
      <c r="P87" s="8">
        <v>1.8</v>
      </c>
    </row>
    <row r="88" spans="1:16" x14ac:dyDescent="0.25">
      <c r="A88" s="8">
        <v>6.4</v>
      </c>
      <c r="F88" s="8">
        <v>3.3</v>
      </c>
      <c r="K88" s="8">
        <v>5</v>
      </c>
      <c r="P88" s="8">
        <v>1.8</v>
      </c>
    </row>
    <row r="89" spans="1:16" x14ac:dyDescent="0.25">
      <c r="A89" s="8">
        <v>6.4</v>
      </c>
      <c r="F89" s="8">
        <v>3.4</v>
      </c>
      <c r="K89" s="8">
        <v>5.0999999999999996</v>
      </c>
      <c r="P89" s="8">
        <v>1.8</v>
      </c>
    </row>
    <row r="90" spans="1:16" x14ac:dyDescent="0.25">
      <c r="A90" s="8">
        <v>6.4</v>
      </c>
      <c r="F90" s="8">
        <v>3.4</v>
      </c>
      <c r="K90" s="8">
        <v>5.0999999999999996</v>
      </c>
      <c r="P90" s="8">
        <v>1.8</v>
      </c>
    </row>
    <row r="91" spans="1:16" x14ac:dyDescent="0.25">
      <c r="A91" s="5">
        <v>6.4</v>
      </c>
      <c r="F91" s="5">
        <v>3.4</v>
      </c>
      <c r="K91" s="5">
        <v>5.0999999999999996</v>
      </c>
      <c r="P91" s="5">
        <v>1.8</v>
      </c>
    </row>
    <row r="92" spans="1:16" x14ac:dyDescent="0.25">
      <c r="A92" s="5">
        <v>6.4</v>
      </c>
      <c r="F92" s="5">
        <v>3.4</v>
      </c>
      <c r="K92" s="5">
        <v>5.0999999999999996</v>
      </c>
      <c r="P92" s="5">
        <v>1.8</v>
      </c>
    </row>
    <row r="93" spans="1:16" x14ac:dyDescent="0.25">
      <c r="A93" s="5">
        <v>6.4</v>
      </c>
      <c r="F93" s="5">
        <v>3.4</v>
      </c>
      <c r="K93" s="5">
        <v>5.0999999999999996</v>
      </c>
      <c r="P93" s="5">
        <v>1.8</v>
      </c>
    </row>
    <row r="94" spans="1:16" x14ac:dyDescent="0.25">
      <c r="A94" s="5">
        <v>6.4</v>
      </c>
      <c r="F94" s="5">
        <v>3.4</v>
      </c>
      <c r="K94" s="5">
        <v>5.0999999999999996</v>
      </c>
      <c r="P94" s="5">
        <v>1.9</v>
      </c>
    </row>
    <row r="95" spans="1:16" x14ac:dyDescent="0.25">
      <c r="A95" s="5">
        <v>6.5</v>
      </c>
      <c r="F95" s="5">
        <v>3.4</v>
      </c>
      <c r="K95" s="5">
        <v>5.0999999999999996</v>
      </c>
      <c r="P95" s="5">
        <v>1.9</v>
      </c>
    </row>
    <row r="96" spans="1:16" x14ac:dyDescent="0.25">
      <c r="A96" s="5">
        <v>6.5</v>
      </c>
      <c r="F96" s="5">
        <v>3.4</v>
      </c>
      <c r="K96" s="5">
        <v>5.0999999999999996</v>
      </c>
      <c r="P96" s="5">
        <v>1.9</v>
      </c>
    </row>
    <row r="97" spans="1:16" x14ac:dyDescent="0.25">
      <c r="A97" s="5">
        <v>6.5</v>
      </c>
      <c r="F97" s="5">
        <v>3.4</v>
      </c>
      <c r="K97" s="5">
        <v>5.2</v>
      </c>
      <c r="P97" s="5">
        <v>1.9</v>
      </c>
    </row>
    <row r="98" spans="1:16" x14ac:dyDescent="0.25">
      <c r="A98" s="5">
        <v>6.6</v>
      </c>
      <c r="F98" s="5">
        <v>3.4</v>
      </c>
      <c r="K98" s="5">
        <v>5.2</v>
      </c>
      <c r="P98" s="5">
        <v>2</v>
      </c>
    </row>
    <row r="99" spans="1:16" x14ac:dyDescent="0.25">
      <c r="A99" s="5">
        <v>6.7</v>
      </c>
      <c r="F99" s="5">
        <v>3.5</v>
      </c>
      <c r="K99" s="5">
        <v>5.3</v>
      </c>
      <c r="P99" s="5">
        <v>2</v>
      </c>
    </row>
    <row r="100" spans="1:16" x14ac:dyDescent="0.25">
      <c r="A100" s="5">
        <v>6.7</v>
      </c>
      <c r="F100" s="5">
        <v>3.5</v>
      </c>
      <c r="K100" s="5">
        <v>5.3</v>
      </c>
      <c r="P100" s="5">
        <v>2</v>
      </c>
    </row>
    <row r="101" spans="1:16" x14ac:dyDescent="0.25">
      <c r="A101" s="5">
        <v>6.7</v>
      </c>
      <c r="F101" s="5">
        <v>3.5</v>
      </c>
      <c r="K101" s="5">
        <v>5.4</v>
      </c>
      <c r="P101" s="5">
        <v>2</v>
      </c>
    </row>
    <row r="102" spans="1:16" x14ac:dyDescent="0.25">
      <c r="A102" s="5">
        <v>6.7</v>
      </c>
      <c r="F102" s="5">
        <v>3.5</v>
      </c>
      <c r="K102" s="5">
        <v>5.4</v>
      </c>
      <c r="P102" s="5">
        <v>2</v>
      </c>
    </row>
    <row r="103" spans="1:16" x14ac:dyDescent="0.25">
      <c r="A103" s="5">
        <v>6.7</v>
      </c>
      <c r="F103" s="5">
        <v>3.5</v>
      </c>
      <c r="K103" s="5">
        <v>5.5</v>
      </c>
      <c r="P103" s="5">
        <v>2.1</v>
      </c>
    </row>
    <row r="104" spans="1:16" x14ac:dyDescent="0.25">
      <c r="A104" s="5">
        <v>6.8</v>
      </c>
      <c r="F104" s="5">
        <v>3.5</v>
      </c>
      <c r="K104" s="5">
        <v>5.5</v>
      </c>
      <c r="P104" s="5">
        <v>2.1</v>
      </c>
    </row>
    <row r="105" spans="1:16" x14ac:dyDescent="0.25">
      <c r="A105" s="5">
        <v>6.8</v>
      </c>
      <c r="F105" s="5">
        <v>3.6</v>
      </c>
      <c r="K105" s="5">
        <v>5.5</v>
      </c>
      <c r="P105" s="5">
        <v>2.1</v>
      </c>
    </row>
    <row r="106" spans="1:16" x14ac:dyDescent="0.25">
      <c r="A106" s="5">
        <v>6.9</v>
      </c>
      <c r="F106" s="5">
        <v>3.6</v>
      </c>
      <c r="K106" s="5">
        <v>5.6</v>
      </c>
      <c r="P106" s="5">
        <v>2.1</v>
      </c>
    </row>
    <row r="107" spans="1:16" x14ac:dyDescent="0.25">
      <c r="A107" s="5">
        <v>6.9</v>
      </c>
      <c r="F107" s="5">
        <v>3.7</v>
      </c>
      <c r="K107" s="5">
        <v>5.6</v>
      </c>
      <c r="P107" s="5">
        <v>2.2000000000000002</v>
      </c>
    </row>
    <row r="108" spans="1:16" x14ac:dyDescent="0.25">
      <c r="A108" s="5">
        <v>7</v>
      </c>
      <c r="F108" s="5">
        <v>3.7</v>
      </c>
      <c r="K108" s="5">
        <v>5.6</v>
      </c>
      <c r="P108" s="5">
        <v>2.2000000000000002</v>
      </c>
    </row>
    <row r="109" spans="1:16" x14ac:dyDescent="0.25">
      <c r="A109" s="5">
        <v>7.1</v>
      </c>
      <c r="F109" s="5">
        <v>3.7</v>
      </c>
      <c r="K109" s="5">
        <v>5.6</v>
      </c>
      <c r="P109" s="5">
        <v>2.2999999999999998</v>
      </c>
    </row>
    <row r="110" spans="1:16" x14ac:dyDescent="0.25">
      <c r="A110" s="5">
        <v>7.2</v>
      </c>
      <c r="F110" s="5">
        <v>3.8</v>
      </c>
      <c r="K110" s="5">
        <v>5.6</v>
      </c>
      <c r="P110" s="5">
        <v>2.2999999999999998</v>
      </c>
    </row>
    <row r="111" spans="1:16" x14ac:dyDescent="0.25">
      <c r="A111" s="5">
        <v>7.2</v>
      </c>
      <c r="F111" s="5">
        <v>3.8</v>
      </c>
      <c r="K111" s="5">
        <v>5.6</v>
      </c>
      <c r="P111" s="5">
        <v>2.2999999999999998</v>
      </c>
    </row>
    <row r="112" spans="1:16" x14ac:dyDescent="0.25">
      <c r="A112" s="5">
        <v>7.2</v>
      </c>
      <c r="F112" s="5">
        <v>3.8</v>
      </c>
      <c r="K112" s="5">
        <v>5.7</v>
      </c>
      <c r="P112" s="5">
        <v>2.2999999999999998</v>
      </c>
    </row>
    <row r="113" spans="1:16" x14ac:dyDescent="0.25">
      <c r="A113" s="5">
        <v>7.3</v>
      </c>
      <c r="F113" s="5">
        <v>3.8</v>
      </c>
      <c r="K113" s="5">
        <v>5.7</v>
      </c>
      <c r="P113" s="5">
        <v>2.2999999999999998</v>
      </c>
    </row>
    <row r="114" spans="1:16" x14ac:dyDescent="0.25">
      <c r="A114" s="5">
        <v>7.4</v>
      </c>
      <c r="F114" s="5">
        <v>3.8</v>
      </c>
      <c r="K114" s="5">
        <v>5.7</v>
      </c>
      <c r="P114" s="5">
        <v>2.2999999999999998</v>
      </c>
    </row>
    <row r="115" spans="1:16" x14ac:dyDescent="0.25">
      <c r="A115" s="5">
        <v>7.6</v>
      </c>
      <c r="F115" s="5">
        <v>3.9</v>
      </c>
      <c r="K115" s="5">
        <v>5.8</v>
      </c>
      <c r="P115" s="5">
        <v>2.2999999999999998</v>
      </c>
    </row>
    <row r="116" spans="1:16" x14ac:dyDescent="0.25">
      <c r="A116" s="5">
        <v>7.7</v>
      </c>
      <c r="F116" s="5">
        <v>3.9</v>
      </c>
      <c r="K116" s="5">
        <v>5.8</v>
      </c>
      <c r="P116" s="5">
        <v>2.4</v>
      </c>
    </row>
    <row r="117" spans="1:16" x14ac:dyDescent="0.25">
      <c r="A117" s="5">
        <v>7.7</v>
      </c>
      <c r="F117" s="5">
        <v>4</v>
      </c>
      <c r="K117" s="5">
        <v>5.9</v>
      </c>
      <c r="P117" s="5">
        <v>2.4</v>
      </c>
    </row>
    <row r="118" spans="1:16" x14ac:dyDescent="0.25">
      <c r="A118" s="5">
        <v>7.7</v>
      </c>
      <c r="F118" s="5">
        <v>4.0999999999999996</v>
      </c>
      <c r="K118" s="5">
        <v>6</v>
      </c>
      <c r="P118" s="5">
        <v>2.4</v>
      </c>
    </row>
    <row r="119" spans="1:16" x14ac:dyDescent="0.25">
      <c r="A119" s="5">
        <v>7.7</v>
      </c>
      <c r="F119" s="5">
        <v>4.2</v>
      </c>
      <c r="K119" s="5">
        <v>6.1</v>
      </c>
      <c r="P119" s="5">
        <v>2.5</v>
      </c>
    </row>
    <row r="120" spans="1:16" x14ac:dyDescent="0.25">
      <c r="A120" s="5">
        <v>7.9</v>
      </c>
      <c r="F120" s="5">
        <v>4.4000000000000004</v>
      </c>
      <c r="K120" s="5">
        <v>6.4</v>
      </c>
      <c r="P120" s="5">
        <v>2.5</v>
      </c>
    </row>
  </sheetData>
  <sortState ref="P1:P120">
    <sortCondition ref="P1"/>
  </sortState>
  <mergeCells count="4">
    <mergeCell ref="C6:D6"/>
    <mergeCell ref="H6:I6"/>
    <mergeCell ref="M6:N6"/>
    <mergeCell ref="R6:S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51"/>
  <sheetViews>
    <sheetView topLeftCell="S94" workbookViewId="0">
      <selection activeCell="AC1" sqref="AC1:AG121"/>
    </sheetView>
  </sheetViews>
  <sheetFormatPr defaultRowHeight="15" x14ac:dyDescent="0.25"/>
  <cols>
    <col min="12" max="12" width="9.140625" style="3"/>
    <col min="14" max="14" width="13.140625" customWidth="1"/>
    <col min="15" max="15" width="10.28515625" customWidth="1"/>
    <col min="16" max="16" width="8.140625" customWidth="1"/>
    <col min="20" max="20" width="9.140625" style="3"/>
    <col min="21" max="21" width="13.140625" bestFit="1" customWidth="1"/>
    <col min="22" max="22" width="13.140625" customWidth="1"/>
    <col min="23" max="23" width="10.28515625" customWidth="1"/>
    <col min="24" max="24" width="8.140625" customWidth="1"/>
    <col min="27" max="27" width="9.140625" style="3"/>
    <col min="29" max="29" width="13.140625" bestFit="1" customWidth="1"/>
  </cols>
  <sheetData>
    <row r="1" spans="1:53" x14ac:dyDescent="0.25">
      <c r="A1" t="s">
        <v>0</v>
      </c>
      <c r="B1" t="s">
        <v>1</v>
      </c>
      <c r="C1" t="s">
        <v>43</v>
      </c>
      <c r="D1" t="s">
        <v>44</v>
      </c>
      <c r="G1" t="s">
        <v>36</v>
      </c>
      <c r="H1" t="s">
        <v>38</v>
      </c>
      <c r="I1" t="s">
        <v>39</v>
      </c>
      <c r="J1" t="s">
        <v>40</v>
      </c>
      <c r="L1" s="3" t="s">
        <v>0</v>
      </c>
      <c r="N1" t="s">
        <v>58</v>
      </c>
      <c r="O1" t="s">
        <v>56</v>
      </c>
      <c r="P1" t="s">
        <v>57</v>
      </c>
      <c r="Q1" s="21" t="s">
        <v>58</v>
      </c>
      <c r="R1" s="19" t="s">
        <v>56</v>
      </c>
      <c r="T1" s="3" t="s">
        <v>1</v>
      </c>
      <c r="V1" s="9" t="s">
        <v>54</v>
      </c>
      <c r="W1" t="s">
        <v>56</v>
      </c>
      <c r="X1" t="s">
        <v>57</v>
      </c>
      <c r="AA1" s="3" t="s">
        <v>2</v>
      </c>
      <c r="AC1" s="30" t="s">
        <v>0</v>
      </c>
      <c r="AD1" s="30" t="s">
        <v>1</v>
      </c>
      <c r="AE1" s="30" t="s">
        <v>2</v>
      </c>
      <c r="AF1" s="30" t="s">
        <v>3</v>
      </c>
      <c r="AG1" s="30" t="s">
        <v>4</v>
      </c>
    </row>
    <row r="2" spans="1:53" x14ac:dyDescent="0.25">
      <c r="A2" s="1">
        <v>4.4000000000000004</v>
      </c>
      <c r="B2" s="1">
        <v>2</v>
      </c>
      <c r="C2" s="1">
        <v>1</v>
      </c>
      <c r="D2" s="1">
        <v>0.1</v>
      </c>
      <c r="F2" t="s">
        <v>46</v>
      </c>
      <c r="G2">
        <f>COUNT(A2:A121)</f>
        <v>120</v>
      </c>
      <c r="H2">
        <f>COUNT(B2:B121)</f>
        <v>120</v>
      </c>
      <c r="I2">
        <f>COUNT(C2:C121)</f>
        <v>120</v>
      </c>
      <c r="J2">
        <f>COUNT(D2:D121)</f>
        <v>120</v>
      </c>
      <c r="L2">
        <v>4.3</v>
      </c>
      <c r="N2" s="10" t="s">
        <v>60</v>
      </c>
      <c r="O2" s="12">
        <v>22</v>
      </c>
      <c r="P2" s="14">
        <v>0.14666666666666667</v>
      </c>
      <c r="Q2" s="22" t="s">
        <v>64</v>
      </c>
      <c r="R2" s="17">
        <v>0</v>
      </c>
      <c r="T2" s="3">
        <v>2</v>
      </c>
      <c r="V2" s="10" t="s">
        <v>69</v>
      </c>
      <c r="W2" s="12">
        <v>11</v>
      </c>
      <c r="X2" s="14">
        <v>7.3333333333333334E-2</v>
      </c>
      <c r="AA2" s="3">
        <v>1</v>
      </c>
      <c r="AC2" s="30">
        <v>5.0999999999999996</v>
      </c>
      <c r="AD2" s="30">
        <v>3</v>
      </c>
      <c r="AE2" s="30">
        <v>1.1000000000000001</v>
      </c>
      <c r="AF2" s="30">
        <v>0.1</v>
      </c>
      <c r="AG2" s="30" t="s">
        <v>5</v>
      </c>
      <c r="AI2" s="27" t="s">
        <v>36</v>
      </c>
      <c r="AJ2" s="27"/>
      <c r="AK2" s="27"/>
      <c r="AL2" s="27"/>
      <c r="AN2" s="27" t="s">
        <v>38</v>
      </c>
      <c r="AO2" s="27"/>
      <c r="AP2" s="27"/>
      <c r="AQ2" s="27"/>
      <c r="AS2" s="27" t="s">
        <v>2</v>
      </c>
      <c r="AT2" s="27"/>
      <c r="AU2" s="27"/>
      <c r="AV2" s="27"/>
      <c r="AX2" s="27" t="s">
        <v>3</v>
      </c>
      <c r="AY2" s="27"/>
      <c r="AZ2" s="27"/>
      <c r="BA2" s="27"/>
    </row>
    <row r="3" spans="1:53" x14ac:dyDescent="0.25">
      <c r="A3" s="1">
        <v>4.4000000000000004</v>
      </c>
      <c r="B3" s="1">
        <v>2.2000000000000002</v>
      </c>
      <c r="C3" s="1">
        <v>1.1000000000000001</v>
      </c>
      <c r="D3" s="1">
        <v>0.1</v>
      </c>
      <c r="F3" t="s">
        <v>33</v>
      </c>
      <c r="G3">
        <f>AVERAGE(A2:A121)</f>
        <v>5.8533333333333371</v>
      </c>
      <c r="H3">
        <f>AVERAGE(B2:B121)</f>
        <v>3.0791666666666648</v>
      </c>
      <c r="I3">
        <f>AVERAGE(C2:C121)</f>
        <v>3.7116666666666687</v>
      </c>
      <c r="J3">
        <f>AVERAGE(D2:D121)</f>
        <v>1.2100000000000002</v>
      </c>
      <c r="L3" s="3">
        <v>4.4000000000000004</v>
      </c>
      <c r="N3" s="10" t="s">
        <v>61</v>
      </c>
      <c r="O3" s="12">
        <v>61</v>
      </c>
      <c r="P3" s="14">
        <v>0.40666666666666668</v>
      </c>
      <c r="Q3" s="22" t="s">
        <v>65</v>
      </c>
      <c r="R3" s="17">
        <v>32</v>
      </c>
      <c r="T3" s="3">
        <v>2.2000000000000002</v>
      </c>
      <c r="V3" s="10" t="s">
        <v>70</v>
      </c>
      <c r="W3" s="12">
        <v>46</v>
      </c>
      <c r="X3" s="14">
        <v>0.30666666666666664</v>
      </c>
      <c r="AA3" s="3">
        <v>1.1000000000000001</v>
      </c>
      <c r="AC3" s="30">
        <v>4.9000000000000004</v>
      </c>
      <c r="AD3" s="30">
        <v>2.9</v>
      </c>
      <c r="AE3" s="30">
        <v>1.4</v>
      </c>
      <c r="AF3" s="30">
        <v>0.2</v>
      </c>
      <c r="AG3" s="30" t="s">
        <v>5</v>
      </c>
      <c r="AJ3" s="3" t="s">
        <v>5</v>
      </c>
      <c r="AK3" s="3" t="s">
        <v>6</v>
      </c>
      <c r="AL3" t="s">
        <v>7</v>
      </c>
      <c r="AO3" s="3" t="s">
        <v>5</v>
      </c>
      <c r="AP3" s="3" t="s">
        <v>6</v>
      </c>
      <c r="AQ3" t="s">
        <v>7</v>
      </c>
      <c r="AT3" s="3" t="s">
        <v>5</v>
      </c>
      <c r="AU3" s="3" t="s">
        <v>6</v>
      </c>
      <c r="AV3" t="s">
        <v>7</v>
      </c>
      <c r="AY3" s="3" t="s">
        <v>5</v>
      </c>
      <c r="AZ3" s="3" t="s">
        <v>6</v>
      </c>
      <c r="BA3" t="s">
        <v>7</v>
      </c>
    </row>
    <row r="4" spans="1:53" x14ac:dyDescent="0.25">
      <c r="A4" s="1">
        <v>4.5</v>
      </c>
      <c r="B4" s="1">
        <v>2.2000000000000002</v>
      </c>
      <c r="C4" s="1">
        <v>1.2</v>
      </c>
      <c r="D4" s="1">
        <v>0.1</v>
      </c>
      <c r="F4" t="s">
        <v>47</v>
      </c>
      <c r="G4">
        <f>_xlfn.STDEV.S(A2:A121)</f>
        <v>0.8416603571885195</v>
      </c>
      <c r="H4">
        <f>_xlfn.STDEV.S(B2:B121)</f>
        <v>0.4488820535945155</v>
      </c>
      <c r="I4">
        <f>_xlfn.STDEV.S(C2:C121)</f>
        <v>1.7024047911202289</v>
      </c>
      <c r="J4">
        <f>_xlfn.STDEV.S(D2:D121)</f>
        <v>0.76040679073437845</v>
      </c>
      <c r="K4" s="4"/>
      <c r="L4" s="3">
        <v>4.4000000000000004</v>
      </c>
      <c r="N4" s="10" t="s">
        <v>62</v>
      </c>
      <c r="O4" s="12">
        <v>54</v>
      </c>
      <c r="P4" s="14">
        <v>0.36</v>
      </c>
      <c r="Q4" s="22" t="s">
        <v>66</v>
      </c>
      <c r="R4" s="17">
        <v>57</v>
      </c>
      <c r="T4" s="3">
        <v>2.2000000000000002</v>
      </c>
      <c r="V4" s="10" t="s">
        <v>71</v>
      </c>
      <c r="W4" s="12">
        <v>69</v>
      </c>
      <c r="X4" s="14">
        <v>0.46</v>
      </c>
      <c r="AA4" s="3">
        <v>1.2</v>
      </c>
      <c r="AC4" s="30">
        <v>4.7</v>
      </c>
      <c r="AD4" s="30">
        <v>3</v>
      </c>
      <c r="AE4" s="30">
        <v>1.3</v>
      </c>
      <c r="AF4" s="30">
        <v>0.2</v>
      </c>
      <c r="AG4" s="30" t="s">
        <v>5</v>
      </c>
      <c r="AI4" t="s">
        <v>46</v>
      </c>
      <c r="AJ4">
        <v>40</v>
      </c>
      <c r="AK4">
        <v>40</v>
      </c>
      <c r="AL4">
        <v>40</v>
      </c>
      <c r="AN4" t="s">
        <v>46</v>
      </c>
      <c r="AO4">
        <v>40</v>
      </c>
      <c r="AP4">
        <v>40</v>
      </c>
      <c r="AQ4">
        <v>40</v>
      </c>
      <c r="AS4" t="s">
        <v>46</v>
      </c>
      <c r="AT4">
        <v>40</v>
      </c>
      <c r="AU4">
        <v>40</v>
      </c>
      <c r="AV4">
        <v>40</v>
      </c>
      <c r="AX4" t="s">
        <v>46</v>
      </c>
      <c r="AY4">
        <v>40</v>
      </c>
      <c r="AZ4">
        <v>40</v>
      </c>
      <c r="BA4">
        <v>40</v>
      </c>
    </row>
    <row r="5" spans="1:53" x14ac:dyDescent="0.25">
      <c r="A5" s="1">
        <v>4.5999999999999996</v>
      </c>
      <c r="B5" s="1">
        <v>2.2000000000000002</v>
      </c>
      <c r="C5" s="1">
        <v>1.2</v>
      </c>
      <c r="D5" s="1">
        <v>0.1</v>
      </c>
      <c r="F5" t="s">
        <v>45</v>
      </c>
      <c r="G5">
        <f>_xlfn.QUARTILE.INC($A$2:$A$121,0)</f>
        <v>4.4000000000000004</v>
      </c>
      <c r="H5">
        <f>_xlfn.QUARTILE.INC($B$2:$B$121,0)</f>
        <v>2</v>
      </c>
      <c r="I5">
        <f>_xlfn.QUARTILE.INC($C$2:$C$121,0)</f>
        <v>1</v>
      </c>
      <c r="J5">
        <f>_xlfn.QUARTILE.INC($D$2:$D$121,0)</f>
        <v>0.1</v>
      </c>
      <c r="L5">
        <v>4.4000000000000004</v>
      </c>
      <c r="N5" s="10" t="s">
        <v>63</v>
      </c>
      <c r="O5" s="12">
        <v>13</v>
      </c>
      <c r="P5" s="14">
        <v>8.666666666666667E-2</v>
      </c>
      <c r="Q5" s="22" t="s">
        <v>67</v>
      </c>
      <c r="R5" s="17">
        <v>49</v>
      </c>
      <c r="T5" s="3">
        <v>2.2000000000000002</v>
      </c>
      <c r="V5" s="10" t="s">
        <v>72</v>
      </c>
      <c r="W5" s="12">
        <v>20</v>
      </c>
      <c r="X5" s="14">
        <v>0.13333333333333333</v>
      </c>
      <c r="AA5" s="3">
        <v>1.2</v>
      </c>
      <c r="AC5" s="30">
        <v>4.5999999999999996</v>
      </c>
      <c r="AD5" s="30">
        <v>3.2</v>
      </c>
      <c r="AE5" s="30">
        <v>1.3</v>
      </c>
      <c r="AF5" s="30">
        <v>0.2</v>
      </c>
      <c r="AG5" s="30" t="s">
        <v>5</v>
      </c>
      <c r="AI5" t="s">
        <v>33</v>
      </c>
      <c r="AJ5">
        <f>AVERAGE(AC2:AC41)</f>
        <v>5.1675000000000013</v>
      </c>
      <c r="AK5">
        <f>AVERAGE($AC$42:$AC$81)</f>
        <v>6.0574999999999992</v>
      </c>
      <c r="AL5">
        <f>AVERAGE(AC82:AC121)</f>
        <v>6.3349999999999991</v>
      </c>
      <c r="AN5" t="s">
        <v>33</v>
      </c>
      <c r="AO5">
        <f>AVERAGE(AD2:AD41)</f>
        <v>3.4825000000000008</v>
      </c>
      <c r="AP5">
        <f>AVERAGE($AD$42:$AD$81)</f>
        <v>2.8050000000000002</v>
      </c>
      <c r="AQ5">
        <f>AVERAGE($AD$82:$AD$121)</f>
        <v>2.9499999999999993</v>
      </c>
      <c r="AS5" t="s">
        <v>33</v>
      </c>
      <c r="AT5">
        <f>AVERAGE(AE2:AE41)</f>
        <v>1.4525000000000001</v>
      </c>
      <c r="AU5">
        <f>AVERAGE($AE$42:$AE$81)</f>
        <v>4.32</v>
      </c>
      <c r="AV5">
        <f>AVERAGE($AE$82:$AE$121)</f>
        <v>5.3624999999999989</v>
      </c>
      <c r="AX5" t="s">
        <v>33</v>
      </c>
      <c r="AY5">
        <f>AVERAGE(AF2:AF41)</f>
        <v>0.25750000000000001</v>
      </c>
      <c r="AZ5">
        <f>AVERAGE($AF$42:$AF$81)</f>
        <v>1.3474999999999997</v>
      </c>
      <c r="BA5">
        <f>AVERAGE($AF$82:$AF$121)</f>
        <v>2.0249999999999995</v>
      </c>
    </row>
    <row r="6" spans="1:53" x14ac:dyDescent="0.25">
      <c r="A6" s="1">
        <v>4.5999999999999996</v>
      </c>
      <c r="B6" s="1">
        <v>2.2999999999999998</v>
      </c>
      <c r="C6" s="1">
        <v>1.3</v>
      </c>
      <c r="D6" s="1">
        <v>0.2</v>
      </c>
      <c r="F6" t="s">
        <v>31</v>
      </c>
      <c r="G6">
        <f>_xlfn.QUARTILE.INC($A$2:$A$121,1)</f>
        <v>5.0999999999999996</v>
      </c>
      <c r="H6">
        <f>_xlfn.QUARTILE.INC($B$2:$B$121,1)</f>
        <v>2.8</v>
      </c>
      <c r="I6">
        <f>_xlfn.QUARTILE.INC($C$2:$C$121,1)</f>
        <v>1.5</v>
      </c>
      <c r="J6">
        <f>_xlfn.QUARTILE.INC($D$2:$D$121,1)</f>
        <v>0.3</v>
      </c>
      <c r="L6" s="3">
        <v>4.5</v>
      </c>
      <c r="N6" s="11" t="s">
        <v>55</v>
      </c>
      <c r="O6" s="13">
        <v>150</v>
      </c>
      <c r="P6" s="15">
        <v>1</v>
      </c>
      <c r="Q6" s="22" t="s">
        <v>68</v>
      </c>
      <c r="R6" s="17">
        <v>12</v>
      </c>
      <c r="T6" s="3">
        <v>2.2999999999999998</v>
      </c>
      <c r="V6" s="10" t="s">
        <v>73</v>
      </c>
      <c r="W6" s="12">
        <v>4</v>
      </c>
      <c r="X6" s="14">
        <v>2.6666666666666668E-2</v>
      </c>
      <c r="AA6" s="3">
        <v>1.3</v>
      </c>
      <c r="AC6" s="30">
        <v>5</v>
      </c>
      <c r="AD6" s="30">
        <v>2.2999999999999998</v>
      </c>
      <c r="AE6" s="30">
        <v>1.3</v>
      </c>
      <c r="AF6" s="30">
        <v>0.3</v>
      </c>
      <c r="AG6" s="30" t="s">
        <v>5</v>
      </c>
      <c r="AI6" t="s">
        <v>47</v>
      </c>
      <c r="AN6" t="s">
        <v>47</v>
      </c>
      <c r="AS6" t="s">
        <v>47</v>
      </c>
      <c r="AX6" t="s">
        <v>47</v>
      </c>
    </row>
    <row r="7" spans="1:53" ht="15.75" thickBot="1" x14ac:dyDescent="0.3">
      <c r="A7" s="1">
        <v>4.5999999999999996</v>
      </c>
      <c r="B7" s="1">
        <v>2.2999999999999998</v>
      </c>
      <c r="C7" s="1">
        <v>1.3</v>
      </c>
      <c r="D7" s="1">
        <v>0.2</v>
      </c>
      <c r="F7" t="s">
        <v>41</v>
      </c>
      <c r="G7">
        <f>_xlfn.QUARTILE.INC($A$2:$A$121,2)</f>
        <v>5.75</v>
      </c>
      <c r="H7">
        <f>_xlfn.QUARTILE.INC($B$2:$B$121,2)</f>
        <v>3</v>
      </c>
      <c r="I7">
        <f>_xlfn.QUARTILE.INC($C$2:$C$121,2)</f>
        <v>4.45</v>
      </c>
      <c r="J7">
        <f>_xlfn.QUARTILE.INC($D$2:$D$121,2)</f>
        <v>1.4</v>
      </c>
      <c r="L7" s="3">
        <v>4.5999999999999996</v>
      </c>
      <c r="N7" s="10"/>
      <c r="O7" s="12"/>
      <c r="P7" s="14"/>
      <c r="Q7" s="23" t="s">
        <v>59</v>
      </c>
      <c r="R7" s="18">
        <v>0</v>
      </c>
      <c r="T7">
        <v>2.2999999999999998</v>
      </c>
      <c r="V7" s="10" t="s">
        <v>55</v>
      </c>
      <c r="W7" s="12">
        <v>150</v>
      </c>
      <c r="X7" s="14">
        <v>1</v>
      </c>
      <c r="AA7" s="3">
        <v>1.3</v>
      </c>
      <c r="AC7" s="30">
        <v>5.4</v>
      </c>
      <c r="AD7" s="30">
        <v>3.1</v>
      </c>
      <c r="AE7" s="30">
        <v>1.5</v>
      </c>
      <c r="AF7" s="30">
        <v>0.2</v>
      </c>
      <c r="AG7" s="30" t="s">
        <v>5</v>
      </c>
      <c r="AI7" t="s">
        <v>45</v>
      </c>
      <c r="AJ7">
        <f>_xlfn.QUARTILE.INC($AC$2:$AC$41,0)</f>
        <v>4.4000000000000004</v>
      </c>
      <c r="AK7">
        <f>_xlfn.QUARTILE.INC($AC$42:$AC$81,0)</f>
        <v>4.8</v>
      </c>
      <c r="AL7">
        <f>_xlfn.QUARTILE.INC($AC$82:$AC$121,0)</f>
        <v>4.9000000000000004</v>
      </c>
      <c r="AN7" t="s">
        <v>45</v>
      </c>
      <c r="AO7">
        <f>_xlfn.QUARTILE.INC($AD$2:$AD$41,0)</f>
        <v>2.2999999999999998</v>
      </c>
      <c r="AP7">
        <f>_xlfn.QUARTILE.INC($AD$42:$AD$81,0)</f>
        <v>2</v>
      </c>
      <c r="AQ7">
        <f>_xlfn.QUARTILE.INC($AD$82:$AD$121,0)</f>
        <v>2.2000000000000002</v>
      </c>
      <c r="AS7" t="s">
        <v>45</v>
      </c>
      <c r="AT7">
        <f>_xlfn.QUARTILE.INC($AE$2:$AE$41,0)</f>
        <v>1</v>
      </c>
      <c r="AU7">
        <f>_xlfn.QUARTILE.INC($AE$42:$AE$81,0)</f>
        <v>3</v>
      </c>
      <c r="AV7">
        <f>_xlfn.QUARTILE.INC($AE$82:$AE$121,0)</f>
        <v>4.5</v>
      </c>
      <c r="AX7" t="s">
        <v>45</v>
      </c>
      <c r="AY7">
        <f>_xlfn.QUARTILE.INC($AF$2:$AF$41,0)</f>
        <v>0.1</v>
      </c>
      <c r="AZ7">
        <f>_xlfn.QUARTILE.INC($AF$42:$AF$81,0)</f>
        <v>1</v>
      </c>
      <c r="BA7">
        <f>_xlfn.QUARTILE.INC($AF$82:$AF$121,0)</f>
        <v>1.4</v>
      </c>
    </row>
    <row r="8" spans="1:53" x14ac:dyDescent="0.25">
      <c r="A8" s="1">
        <v>4.5999999999999996</v>
      </c>
      <c r="B8" s="1">
        <v>2.2999999999999998</v>
      </c>
      <c r="C8" s="1">
        <v>1.3</v>
      </c>
      <c r="D8" s="1">
        <v>0.2</v>
      </c>
      <c r="F8" t="s">
        <v>32</v>
      </c>
      <c r="G8">
        <f>_xlfn.QUARTILE.INC($A$2:$A$121,3)</f>
        <v>6.4</v>
      </c>
      <c r="H8">
        <f>_xlfn.QUARTILE.INC($B$2:$B$121,3)</f>
        <v>3.4</v>
      </c>
      <c r="I8">
        <f>_xlfn.QUARTILE.INC($C$2:$C$121,3)</f>
        <v>5.0999999999999996</v>
      </c>
      <c r="J8">
        <f>_xlfn.QUARTILE.INC($D$2:$D$121,3)</f>
        <v>1.8</v>
      </c>
      <c r="L8" s="3">
        <v>4.5999999999999996</v>
      </c>
      <c r="T8" s="3">
        <v>2.2999999999999998</v>
      </c>
      <c r="AA8" s="3">
        <v>1.3</v>
      </c>
      <c r="AC8" s="30">
        <v>4.5999999999999996</v>
      </c>
      <c r="AD8" s="30">
        <v>3.4</v>
      </c>
      <c r="AE8" s="30">
        <v>1.4</v>
      </c>
      <c r="AF8" s="30">
        <v>0.3</v>
      </c>
      <c r="AG8" s="30" t="s">
        <v>5</v>
      </c>
      <c r="AJ8">
        <f>_xlfn.QUARTILE.INC($AC$2:$AC$41,1)</f>
        <v>4.8</v>
      </c>
      <c r="AK8">
        <f>_xlfn.QUARTILE.INC($AC$42:$AC$81,1)</f>
        <v>5.5749999999999993</v>
      </c>
      <c r="AL8">
        <f>_xlfn.QUARTILE.INC($AC$82:$AC$121,1)</f>
        <v>5.8</v>
      </c>
      <c r="AN8" t="s">
        <v>31</v>
      </c>
      <c r="AO8">
        <f>_xlfn.QUARTILE.INC($AD$2:$AD$41,1)</f>
        <v>3.2749999999999999</v>
      </c>
      <c r="AP8">
        <f>_xlfn.QUARTILE.INC($AD$42:$AD$81,1)</f>
        <v>2.6750000000000003</v>
      </c>
      <c r="AQ8">
        <f>_xlfn.QUARTILE.INC($AD$82:$AD$121,1)</f>
        <v>2.7749999999999999</v>
      </c>
      <c r="AS8" t="s">
        <v>31</v>
      </c>
      <c r="AT8">
        <f>_xlfn.QUARTILE.INC($AE$2:$AE$41,1)</f>
        <v>1.375</v>
      </c>
      <c r="AU8">
        <f>_xlfn.QUARTILE.INC($AE$42:$AE$81,1)</f>
        <v>4.0749999999999993</v>
      </c>
      <c r="AV8">
        <f>_xlfn.QUARTILE.INC($AE$82:$AE$121,1)</f>
        <v>5.0999999999999996</v>
      </c>
      <c r="AX8" t="s">
        <v>31</v>
      </c>
      <c r="AY8">
        <f>_xlfn.QUARTILE.INC($AF$2:$AF$41,1)</f>
        <v>0.2</v>
      </c>
      <c r="AZ8">
        <f>_xlfn.QUARTILE.INC($AF$42:$AF$81,1)</f>
        <v>1.2</v>
      </c>
      <c r="BA8">
        <f>_xlfn.QUARTILE.INC($AF$82:$AF$121,1)</f>
        <v>1.8</v>
      </c>
    </row>
    <row r="9" spans="1:53" x14ac:dyDescent="0.25">
      <c r="A9" s="1">
        <v>4.7</v>
      </c>
      <c r="B9" s="1">
        <v>2.4</v>
      </c>
      <c r="C9" s="1">
        <v>1.3</v>
      </c>
      <c r="D9" s="1">
        <v>0.2</v>
      </c>
      <c r="F9" t="s">
        <v>42</v>
      </c>
      <c r="G9">
        <f>_xlfn.QUARTILE.INC($A$2:$A$121,4)</f>
        <v>7.9</v>
      </c>
      <c r="H9">
        <f>_xlfn.QUARTILE.INC($B$2:$B$121,4)</f>
        <v>4.4000000000000004</v>
      </c>
      <c r="I9">
        <f>_xlfn.QUARTILE.INC($C$2:$C$121,4)</f>
        <v>6.4</v>
      </c>
      <c r="J9">
        <f>_xlfn.QUARTILE.INC($D$2:$D$121,4)</f>
        <v>2.5</v>
      </c>
      <c r="L9" s="3">
        <v>4.5999999999999996</v>
      </c>
      <c r="N9" s="10"/>
      <c r="O9" s="12"/>
      <c r="P9" s="14"/>
      <c r="T9" s="3">
        <v>2.2999999999999998</v>
      </c>
      <c r="AA9" s="3">
        <v>1.3</v>
      </c>
      <c r="AC9" s="30">
        <v>5</v>
      </c>
      <c r="AD9" s="30">
        <v>3.6</v>
      </c>
      <c r="AE9" s="30">
        <v>1</v>
      </c>
      <c r="AF9" s="30">
        <v>0.2</v>
      </c>
      <c r="AG9" s="30" t="s">
        <v>5</v>
      </c>
      <c r="AI9" t="s">
        <v>41</v>
      </c>
      <c r="AJ9">
        <f>_xlfn.QUARTILE.INC($AC$2:$AC$41,2)</f>
        <v>5</v>
      </c>
      <c r="AK9">
        <f>_xlfn.QUARTILE.INC($AC$42:$AC$81,2)</f>
        <v>6</v>
      </c>
      <c r="AL9">
        <f>_xlfn.QUARTILE.INC($AC$82:$AC$121,2)</f>
        <v>6.3</v>
      </c>
      <c r="AN9" t="s">
        <v>41</v>
      </c>
      <c r="AO9">
        <f>_xlfn.QUARTILE.INC($AD$2:$AD$41,2)</f>
        <v>3.5</v>
      </c>
      <c r="AP9">
        <f>_xlfn.QUARTILE.INC($AD$42:$AD$81,2)</f>
        <v>2.8499999999999996</v>
      </c>
      <c r="AQ9">
        <f>_xlfn.QUARTILE.INC($AD$82:$AD$121,2)</f>
        <v>3</v>
      </c>
      <c r="AS9" t="s">
        <v>41</v>
      </c>
      <c r="AT9">
        <f>_xlfn.QUARTILE.INC($AE$2:$AE$41,2)</f>
        <v>1.5</v>
      </c>
      <c r="AU9">
        <f>_xlfn.QUARTILE.INC($AE$42:$AE$81,2)</f>
        <v>4.45</v>
      </c>
      <c r="AV9">
        <f>_xlfn.QUARTILE.INC($AE$82:$AE$121,2)</f>
        <v>5.35</v>
      </c>
      <c r="AX9" t="s">
        <v>41</v>
      </c>
      <c r="AY9">
        <f>_xlfn.QUARTILE.INC($AF$2:$AF$41,2)</f>
        <v>0.2</v>
      </c>
      <c r="AZ9">
        <f>_xlfn.QUARTILE.INC($AF$42:$AF$81,2)</f>
        <v>1.4</v>
      </c>
      <c r="BA9">
        <f>_xlfn.QUARTILE.INC($AF$82:$AF$121,2)</f>
        <v>2</v>
      </c>
    </row>
    <row r="10" spans="1:53" x14ac:dyDescent="0.25">
      <c r="A10" s="1">
        <v>4.7</v>
      </c>
      <c r="B10" s="1">
        <v>2.5</v>
      </c>
      <c r="C10" s="1">
        <v>1.3</v>
      </c>
      <c r="D10" s="1">
        <v>0.2</v>
      </c>
      <c r="F10" t="s">
        <v>31</v>
      </c>
      <c r="G10">
        <f>G6</f>
        <v>5.0999999999999996</v>
      </c>
      <c r="H10">
        <f t="shared" ref="H10:J10" si="0">H6</f>
        <v>2.8</v>
      </c>
      <c r="I10">
        <f t="shared" si="0"/>
        <v>1.5</v>
      </c>
      <c r="J10">
        <f t="shared" si="0"/>
        <v>0.3</v>
      </c>
      <c r="L10" s="3">
        <v>4.5999999999999996</v>
      </c>
      <c r="N10" s="10"/>
      <c r="O10" s="12"/>
      <c r="P10" s="14"/>
      <c r="T10">
        <v>2.4</v>
      </c>
      <c r="V10" s="10" t="s">
        <v>58</v>
      </c>
      <c r="W10" t="s">
        <v>56</v>
      </c>
      <c r="X10" t="s">
        <v>57</v>
      </c>
      <c r="AA10" s="3">
        <v>1.3</v>
      </c>
      <c r="AC10" s="30">
        <v>5.7</v>
      </c>
      <c r="AD10" s="30">
        <v>3.1</v>
      </c>
      <c r="AE10" s="30">
        <v>1.5</v>
      </c>
      <c r="AF10" s="30">
        <v>0.1</v>
      </c>
      <c r="AG10" s="30" t="s">
        <v>5</v>
      </c>
      <c r="AI10" t="s">
        <v>32</v>
      </c>
      <c r="AJ10">
        <f>_xlfn.QUARTILE.INC($AC$2:$AC$41,3)</f>
        <v>5.3250000000000002</v>
      </c>
      <c r="AK10">
        <f>_xlfn.QUARTILE.INC($AC$42:$AC$81,3)</f>
        <v>6.4</v>
      </c>
      <c r="AL10">
        <f>_xlfn.QUARTILE.INC($AC$82:$AC$121,3)</f>
        <v>6.7249999999999996</v>
      </c>
      <c r="AN10" t="s">
        <v>32</v>
      </c>
      <c r="AO10">
        <f>_xlfn.QUARTILE.INC($AD$2:$AD$41,3)</f>
        <v>3.7250000000000001</v>
      </c>
      <c r="AP10">
        <f>_xlfn.QUARTILE.INC($AD$42:$AD$81,3)</f>
        <v>3</v>
      </c>
      <c r="AQ10">
        <f>_xlfn.QUARTILE.INC($AD$82:$AD$121,3)</f>
        <v>3.125</v>
      </c>
      <c r="AS10" t="s">
        <v>32</v>
      </c>
      <c r="AT10">
        <f>_xlfn.QUARTILE.INC($AE$2:$AE$41,3)</f>
        <v>1.5</v>
      </c>
      <c r="AU10">
        <f>_xlfn.QUARTILE.INC($AE$42:$AE$81,3)</f>
        <v>4.7</v>
      </c>
      <c r="AV10">
        <f>_xlfn.QUARTILE.INC($AE$82:$AE$121,3)</f>
        <v>5.6</v>
      </c>
      <c r="AX10" t="s">
        <v>32</v>
      </c>
      <c r="AY10">
        <f>_xlfn.QUARTILE.INC($AF$2:$AF$41,3)</f>
        <v>0.3</v>
      </c>
      <c r="AZ10">
        <f>_xlfn.QUARTILE.INC($AF$42:$AF$81,3)</f>
        <v>1.5</v>
      </c>
      <c r="BA10">
        <f>_xlfn.QUARTILE.INC($AF$82:$AF$121,3)</f>
        <v>2.2999999999999998</v>
      </c>
    </row>
    <row r="11" spans="1:53" x14ac:dyDescent="0.25">
      <c r="A11" s="1">
        <v>4.8</v>
      </c>
      <c r="B11" s="1">
        <v>2.5</v>
      </c>
      <c r="C11" s="1">
        <v>1.3</v>
      </c>
      <c r="D11" s="1">
        <v>0.2</v>
      </c>
      <c r="F11" t="s">
        <v>48</v>
      </c>
      <c r="G11">
        <f>G7-G6</f>
        <v>0.65000000000000036</v>
      </c>
      <c r="H11">
        <f>H7-H6</f>
        <v>0.20000000000000018</v>
      </c>
      <c r="I11">
        <f>I7-I6</f>
        <v>2.95</v>
      </c>
      <c r="J11">
        <f t="shared" ref="J11" si="1">J7-J6</f>
        <v>1.0999999999999999</v>
      </c>
      <c r="L11" s="3">
        <v>4.7</v>
      </c>
      <c r="N11" s="10"/>
      <c r="O11" s="12"/>
      <c r="P11" s="14"/>
      <c r="T11">
        <v>2.4</v>
      </c>
      <c r="V11" s="10" t="s">
        <v>69</v>
      </c>
      <c r="W11" s="12">
        <v>11</v>
      </c>
      <c r="X11" s="14">
        <v>7.3333333333333334E-2</v>
      </c>
      <c r="AA11" s="3">
        <v>1.3</v>
      </c>
      <c r="AC11" s="30">
        <v>5.0999999999999996</v>
      </c>
      <c r="AD11" s="30">
        <v>3.1</v>
      </c>
      <c r="AE11" s="30">
        <v>1.5</v>
      </c>
      <c r="AF11" s="30">
        <v>0.1</v>
      </c>
      <c r="AG11" s="30" t="s">
        <v>5</v>
      </c>
      <c r="AI11" t="s">
        <v>42</v>
      </c>
      <c r="AJ11">
        <f>_xlfn.QUARTILE.INC($AC$2:$AC$41,4)</f>
        <v>7</v>
      </c>
      <c r="AK11">
        <f>_xlfn.QUARTILE.INC($AC$42:$AC$81,4)</f>
        <v>7.7</v>
      </c>
      <c r="AL11">
        <f>_xlfn.QUARTILE.INC($AC$82:$AC$121,4)</f>
        <v>7.9</v>
      </c>
      <c r="AN11" t="s">
        <v>42</v>
      </c>
      <c r="AO11">
        <f>_xlfn.QUARTILE.INC($AD$2:$AD$41,4)</f>
        <v>4.4000000000000004</v>
      </c>
      <c r="AP11">
        <f>_xlfn.QUARTILE.INC($AD$42:$AD$81,4)</f>
        <v>3.4</v>
      </c>
      <c r="AQ11">
        <f>_xlfn.QUARTILE.INC($AD$82:$AD$121,4)</f>
        <v>3.8</v>
      </c>
      <c r="AS11" t="s">
        <v>42</v>
      </c>
      <c r="AT11">
        <f>_xlfn.QUARTILE.INC($AE$2:$AE$41,4)</f>
        <v>1.9</v>
      </c>
      <c r="AU11">
        <f>_xlfn.QUARTILE.INC($AE$42:$AE$81,4)</f>
        <v>5.0999999999999996</v>
      </c>
      <c r="AV11">
        <f>_xlfn.QUARTILE.INC($AE$82:$AE$121,4)</f>
        <v>6.4</v>
      </c>
      <c r="AX11" t="s">
        <v>42</v>
      </c>
      <c r="AY11">
        <f>_xlfn.QUARTILE.INC($AF$2:$AF$41,4)</f>
        <v>0.6</v>
      </c>
      <c r="AZ11">
        <f>_xlfn.QUARTILE.INC($AF$42:$AF$81,4)</f>
        <v>1.8</v>
      </c>
      <c r="BA11">
        <f>_xlfn.QUARTILE.INC($AF$82:$AF$121,4)</f>
        <v>2.5</v>
      </c>
    </row>
    <row r="12" spans="1:53" x14ac:dyDescent="0.25">
      <c r="A12" s="1">
        <v>4.8</v>
      </c>
      <c r="B12" s="1">
        <v>2.5</v>
      </c>
      <c r="C12" s="1">
        <v>1.4</v>
      </c>
      <c r="D12" s="1">
        <v>0.2</v>
      </c>
      <c r="F12" t="s">
        <v>49</v>
      </c>
      <c r="G12">
        <f>G8-G7</f>
        <v>0.65000000000000036</v>
      </c>
      <c r="H12">
        <f t="shared" ref="H12:J12" si="2">H8-H7</f>
        <v>0.39999999999999991</v>
      </c>
      <c r="I12">
        <f t="shared" si="2"/>
        <v>0.64999999999999947</v>
      </c>
      <c r="J12">
        <f t="shared" si="2"/>
        <v>0.40000000000000013</v>
      </c>
      <c r="L12" s="3">
        <v>4.7</v>
      </c>
      <c r="N12" s="10"/>
      <c r="O12" s="12"/>
      <c r="P12" s="14"/>
      <c r="T12" s="3">
        <v>2.4</v>
      </c>
      <c r="V12" s="10" t="s">
        <v>70</v>
      </c>
      <c r="W12" s="12">
        <v>46</v>
      </c>
      <c r="X12" s="14">
        <v>0.30666666666666664</v>
      </c>
      <c r="AA12">
        <v>1.3</v>
      </c>
      <c r="AC12" s="30">
        <v>4.5999999999999996</v>
      </c>
      <c r="AD12" s="30">
        <v>3.6</v>
      </c>
      <c r="AE12" s="30">
        <v>1.4</v>
      </c>
      <c r="AF12" s="30">
        <v>0.2</v>
      </c>
      <c r="AG12" s="30" t="s">
        <v>5</v>
      </c>
      <c r="AI12" t="s">
        <v>31</v>
      </c>
      <c r="AN12" t="s">
        <v>31</v>
      </c>
      <c r="AS12" t="s">
        <v>31</v>
      </c>
      <c r="AX12" t="s">
        <v>31</v>
      </c>
    </row>
    <row r="13" spans="1:53" x14ac:dyDescent="0.25">
      <c r="A13" s="1">
        <v>4.8</v>
      </c>
      <c r="B13" s="1">
        <v>2.5</v>
      </c>
      <c r="C13" s="1">
        <v>1.4</v>
      </c>
      <c r="D13" s="1">
        <v>0.2</v>
      </c>
      <c r="F13" t="s">
        <v>50</v>
      </c>
      <c r="G13">
        <f>G6-G5</f>
        <v>0.69999999999999929</v>
      </c>
      <c r="H13">
        <f t="shared" ref="H13:J13" si="3">H6-H5</f>
        <v>0.79999999999999982</v>
      </c>
      <c r="I13">
        <f t="shared" si="3"/>
        <v>0.5</v>
      </c>
      <c r="J13">
        <f t="shared" si="3"/>
        <v>0.19999999999999998</v>
      </c>
      <c r="L13" s="3">
        <v>4.8</v>
      </c>
      <c r="N13" s="10"/>
      <c r="O13" s="12"/>
      <c r="P13" s="14"/>
      <c r="T13" s="3">
        <v>2.5</v>
      </c>
      <c r="V13" s="10" t="s">
        <v>71</v>
      </c>
      <c r="W13" s="12">
        <v>69</v>
      </c>
      <c r="X13" s="14">
        <v>0.46</v>
      </c>
      <c r="AA13" s="3">
        <v>1.4</v>
      </c>
      <c r="AC13" s="30">
        <v>5.0999999999999996</v>
      </c>
      <c r="AD13" s="30">
        <v>3.4</v>
      </c>
      <c r="AE13" s="30">
        <v>1.5</v>
      </c>
      <c r="AF13" s="30">
        <v>0.2</v>
      </c>
      <c r="AG13" s="30" t="s">
        <v>5</v>
      </c>
      <c r="AI13" t="s">
        <v>52</v>
      </c>
      <c r="AJ13">
        <f>AJ9-AJ8</f>
        <v>0.20000000000000018</v>
      </c>
      <c r="AK13">
        <f>AK9-AK8</f>
        <v>0.42500000000000071</v>
      </c>
      <c r="AL13">
        <f t="shared" ref="AL13" si="4">AL9-AL8</f>
        <v>0.5</v>
      </c>
      <c r="AN13" t="s">
        <v>52</v>
      </c>
      <c r="AO13">
        <f>AO9-AO8</f>
        <v>0.22500000000000009</v>
      </c>
      <c r="AP13">
        <f>AP9-AP8</f>
        <v>0.17499999999999938</v>
      </c>
      <c r="AQ13">
        <f t="shared" ref="AQ13" si="5">AQ9-AQ8</f>
        <v>0.22500000000000009</v>
      </c>
      <c r="AS13" t="s">
        <v>52</v>
      </c>
      <c r="AT13">
        <f>AT9-AT8</f>
        <v>0.125</v>
      </c>
      <c r="AU13">
        <f>AU9-AU8</f>
        <v>0.37500000000000089</v>
      </c>
      <c r="AV13">
        <f t="shared" ref="AV13" si="6">AV9-AV8</f>
        <v>0.25</v>
      </c>
      <c r="AX13" t="s">
        <v>52</v>
      </c>
      <c r="AY13">
        <f>AY9-AY8</f>
        <v>0</v>
      </c>
      <c r="AZ13">
        <f>AZ9-AZ8</f>
        <v>0.19999999999999996</v>
      </c>
      <c r="BA13">
        <f t="shared" ref="BA13" si="7">BA9-BA8</f>
        <v>0.19999999999999996</v>
      </c>
    </row>
    <row r="14" spans="1:53" x14ac:dyDescent="0.25">
      <c r="A14" s="1">
        <v>4.9000000000000004</v>
      </c>
      <c r="B14" s="1">
        <v>2.5</v>
      </c>
      <c r="C14" s="1">
        <v>1.4</v>
      </c>
      <c r="D14" s="1">
        <v>0.2</v>
      </c>
      <c r="F14" t="s">
        <v>51</v>
      </c>
      <c r="G14">
        <f>G9-G8</f>
        <v>1.5</v>
      </c>
      <c r="H14">
        <f t="shared" ref="H14:J14" si="8">H9-H8</f>
        <v>1.0000000000000004</v>
      </c>
      <c r="I14">
        <f t="shared" si="8"/>
        <v>1.3000000000000007</v>
      </c>
      <c r="J14">
        <f t="shared" si="8"/>
        <v>0.7</v>
      </c>
      <c r="L14" s="3">
        <v>4.8</v>
      </c>
      <c r="P14" s="10"/>
      <c r="T14" s="3">
        <v>2.5</v>
      </c>
      <c r="V14" s="10" t="s">
        <v>72</v>
      </c>
      <c r="W14" s="12">
        <v>20</v>
      </c>
      <c r="X14" s="14">
        <v>0.13333333333333333</v>
      </c>
      <c r="AA14" s="3">
        <v>1.4</v>
      </c>
      <c r="AC14" s="30">
        <v>4.8</v>
      </c>
      <c r="AD14" s="30">
        <v>3</v>
      </c>
      <c r="AE14" s="30">
        <v>1.6</v>
      </c>
      <c r="AF14" s="30">
        <v>0.2</v>
      </c>
      <c r="AG14" s="30" t="s">
        <v>5</v>
      </c>
      <c r="AI14" t="s">
        <v>53</v>
      </c>
      <c r="AJ14">
        <f>AJ10-AJ9</f>
        <v>0.32500000000000018</v>
      </c>
      <c r="AK14">
        <f t="shared" ref="AK14:AL14" si="9">AK10-AK9</f>
        <v>0.40000000000000036</v>
      </c>
      <c r="AL14">
        <f t="shared" si="9"/>
        <v>0.42499999999999982</v>
      </c>
      <c r="AN14" t="s">
        <v>53</v>
      </c>
      <c r="AO14">
        <f>AO10-AO9</f>
        <v>0.22500000000000009</v>
      </c>
      <c r="AP14">
        <f t="shared" ref="AP14:AQ14" si="10">AP10-AP9</f>
        <v>0.15000000000000036</v>
      </c>
      <c r="AQ14">
        <f t="shared" si="10"/>
        <v>0.125</v>
      </c>
      <c r="AS14" t="s">
        <v>53</v>
      </c>
      <c r="AT14">
        <f>AT10-AT9</f>
        <v>0</v>
      </c>
      <c r="AU14">
        <f t="shared" ref="AU14:AV14" si="11">AU10-AU9</f>
        <v>0.25</v>
      </c>
      <c r="AV14">
        <f t="shared" si="11"/>
        <v>0.25</v>
      </c>
      <c r="AX14" t="s">
        <v>53</v>
      </c>
      <c r="AY14">
        <f>AY10-AY9</f>
        <v>9.9999999999999978E-2</v>
      </c>
      <c r="AZ14">
        <f t="shared" ref="AZ14:BA14" si="12">AZ10-AZ9</f>
        <v>0.10000000000000009</v>
      </c>
      <c r="BA14">
        <f t="shared" si="12"/>
        <v>0.29999999999999982</v>
      </c>
    </row>
    <row r="15" spans="1:53" x14ac:dyDescent="0.25">
      <c r="A15" s="1">
        <v>4.9000000000000004</v>
      </c>
      <c r="B15" s="1">
        <v>2.5</v>
      </c>
      <c r="C15" s="1">
        <v>1.4</v>
      </c>
      <c r="D15" s="1">
        <v>0.2</v>
      </c>
      <c r="L15">
        <v>4.8</v>
      </c>
      <c r="T15" s="3">
        <v>2.5</v>
      </c>
      <c r="V15" s="10" t="s">
        <v>73</v>
      </c>
      <c r="W15" s="12">
        <v>4</v>
      </c>
      <c r="X15" s="14">
        <v>2.6666666666666668E-2</v>
      </c>
      <c r="AA15" s="3">
        <v>1.4</v>
      </c>
      <c r="AC15" s="30">
        <v>5</v>
      </c>
      <c r="AD15" s="30">
        <v>3.4</v>
      </c>
      <c r="AE15" s="30">
        <v>1.6</v>
      </c>
      <c r="AF15" s="30">
        <v>0.4</v>
      </c>
      <c r="AG15" s="30" t="s">
        <v>5</v>
      </c>
      <c r="AI15" t="s">
        <v>50</v>
      </c>
      <c r="AJ15">
        <f>AJ8-AJ7</f>
        <v>0.39999999999999947</v>
      </c>
      <c r="AK15">
        <f t="shared" ref="AK15:AL15" si="13">AK8-AK7</f>
        <v>0.77499999999999947</v>
      </c>
      <c r="AL15">
        <f t="shared" si="13"/>
        <v>0.89999999999999947</v>
      </c>
      <c r="AN15" t="s">
        <v>50</v>
      </c>
      <c r="AO15">
        <f>AO8-AO7</f>
        <v>0.97500000000000009</v>
      </c>
      <c r="AP15">
        <f t="shared" ref="AP15:AQ15" si="14">AP8-AP7</f>
        <v>0.67500000000000027</v>
      </c>
      <c r="AQ15">
        <f t="shared" si="14"/>
        <v>0.57499999999999973</v>
      </c>
      <c r="AS15" t="s">
        <v>50</v>
      </c>
      <c r="AT15">
        <f>AT8-AT7</f>
        <v>0.375</v>
      </c>
      <c r="AU15">
        <f t="shared" ref="AU15:AV15" si="15">AU8-AU7</f>
        <v>1.0749999999999993</v>
      </c>
      <c r="AV15">
        <f t="shared" si="15"/>
        <v>0.59999999999999964</v>
      </c>
      <c r="AX15" t="s">
        <v>50</v>
      </c>
      <c r="AY15">
        <f>AY8-AY7</f>
        <v>0.1</v>
      </c>
      <c r="AZ15">
        <f t="shared" ref="AZ15:BA15" si="16">AZ8-AZ7</f>
        <v>0.19999999999999996</v>
      </c>
      <c r="BA15">
        <f t="shared" si="16"/>
        <v>0.40000000000000013</v>
      </c>
    </row>
    <row r="16" spans="1:53" x14ac:dyDescent="0.25">
      <c r="A16" s="1">
        <v>4.9000000000000004</v>
      </c>
      <c r="B16" s="1">
        <v>2.6</v>
      </c>
      <c r="C16" s="1">
        <v>1.4</v>
      </c>
      <c r="D16" s="1">
        <v>0.2</v>
      </c>
      <c r="L16">
        <v>4.8</v>
      </c>
      <c r="T16" s="3">
        <v>2.5</v>
      </c>
      <c r="V16" s="11" t="s">
        <v>55</v>
      </c>
      <c r="W16" s="13">
        <v>150</v>
      </c>
      <c r="X16" s="15">
        <v>1</v>
      </c>
      <c r="AA16" s="3">
        <v>1.4</v>
      </c>
      <c r="AC16" s="30">
        <v>5</v>
      </c>
      <c r="AD16" s="30">
        <v>3.2</v>
      </c>
      <c r="AE16" s="30">
        <v>1.2</v>
      </c>
      <c r="AF16" s="30">
        <v>0.2</v>
      </c>
      <c r="AG16" s="30" t="s">
        <v>5</v>
      </c>
      <c r="AI16" t="s">
        <v>51</v>
      </c>
      <c r="AJ16">
        <f>AJ11-AJ10</f>
        <v>1.6749999999999998</v>
      </c>
      <c r="AK16">
        <f t="shared" ref="AK16:AL16" si="17">AK11-AK10</f>
        <v>1.2999999999999998</v>
      </c>
      <c r="AL16">
        <f t="shared" si="17"/>
        <v>1.1750000000000007</v>
      </c>
      <c r="AN16" t="s">
        <v>51</v>
      </c>
      <c r="AO16">
        <f>AO11-AO10</f>
        <v>0.67500000000000027</v>
      </c>
      <c r="AP16">
        <f t="shared" ref="AP16:AQ16" si="18">AP11-AP10</f>
        <v>0.39999999999999991</v>
      </c>
      <c r="AQ16">
        <f t="shared" si="18"/>
        <v>0.67499999999999982</v>
      </c>
      <c r="AS16" t="s">
        <v>51</v>
      </c>
      <c r="AT16">
        <f>AT11-AT10</f>
        <v>0.39999999999999991</v>
      </c>
      <c r="AU16">
        <f t="shared" ref="AU16:AV16" si="19">AU11-AU10</f>
        <v>0.39999999999999947</v>
      </c>
      <c r="AV16">
        <f t="shared" si="19"/>
        <v>0.80000000000000071</v>
      </c>
      <c r="AX16" t="s">
        <v>51</v>
      </c>
      <c r="AY16">
        <f>AY11-AY10</f>
        <v>0.3</v>
      </c>
      <c r="AZ16">
        <f t="shared" ref="AZ16:BA16" si="20">AZ11-AZ10</f>
        <v>0.30000000000000004</v>
      </c>
      <c r="BA16">
        <f t="shared" si="20"/>
        <v>0.20000000000000018</v>
      </c>
    </row>
    <row r="17" spans="1:53" ht="15.75" thickBot="1" x14ac:dyDescent="0.3">
      <c r="A17" s="1">
        <v>4.9000000000000004</v>
      </c>
      <c r="B17" s="1">
        <v>2.6</v>
      </c>
      <c r="C17" s="1">
        <v>1.4</v>
      </c>
      <c r="D17" s="1">
        <v>0.2</v>
      </c>
      <c r="L17" s="3">
        <v>4.8</v>
      </c>
      <c r="T17">
        <v>2.5</v>
      </c>
      <c r="AA17" s="3">
        <v>1.4</v>
      </c>
      <c r="AC17" s="30">
        <v>5.2</v>
      </c>
      <c r="AD17" s="30">
        <v>3.5</v>
      </c>
      <c r="AE17" s="30">
        <v>1.3</v>
      </c>
      <c r="AF17" s="30">
        <v>0.3</v>
      </c>
      <c r="AG17" s="30" t="s">
        <v>5</v>
      </c>
    </row>
    <row r="18" spans="1:53" x14ac:dyDescent="0.25">
      <c r="A18" s="1">
        <v>5</v>
      </c>
      <c r="B18" s="1">
        <v>2.6</v>
      </c>
      <c r="C18" s="1">
        <v>1.4</v>
      </c>
      <c r="D18" s="1">
        <v>0.2</v>
      </c>
      <c r="L18" s="3">
        <v>4.9000000000000004</v>
      </c>
      <c r="T18">
        <v>2.5</v>
      </c>
      <c r="V18" s="10" t="s">
        <v>58</v>
      </c>
      <c r="X18" s="21" t="s">
        <v>58</v>
      </c>
      <c r="Y18" s="19" t="s">
        <v>56</v>
      </c>
      <c r="AA18" s="3">
        <v>1.4</v>
      </c>
      <c r="AC18" s="30">
        <v>5.2</v>
      </c>
      <c r="AD18" s="30">
        <v>3.5</v>
      </c>
      <c r="AE18" s="30">
        <v>1.6</v>
      </c>
      <c r="AF18" s="30">
        <v>0.6</v>
      </c>
      <c r="AG18" s="30" t="s">
        <v>5</v>
      </c>
      <c r="AI18" t="s">
        <v>103</v>
      </c>
      <c r="AJ18">
        <f>AJ10-AJ8</f>
        <v>0.52500000000000036</v>
      </c>
      <c r="AK18">
        <f t="shared" ref="AK18:AL18" si="21">AK10-AK8</f>
        <v>0.82500000000000107</v>
      </c>
      <c r="AL18">
        <f>AL10-AL8</f>
        <v>0.92499999999999982</v>
      </c>
      <c r="AN18" t="s">
        <v>103</v>
      </c>
      <c r="AO18">
        <f>AO10-AO8</f>
        <v>0.45000000000000018</v>
      </c>
      <c r="AP18">
        <f t="shared" ref="AP18:AQ18" si="22">AP10-AP8</f>
        <v>0.32499999999999973</v>
      </c>
      <c r="AQ18">
        <f>AQ10-AQ8</f>
        <v>0.35000000000000009</v>
      </c>
      <c r="AS18" t="s">
        <v>103</v>
      </c>
      <c r="AT18">
        <f>AT10-AT8</f>
        <v>0.125</v>
      </c>
      <c r="AU18">
        <f t="shared" ref="AU18:AV18" si="23">AU10-AU8</f>
        <v>0.62500000000000089</v>
      </c>
      <c r="AV18">
        <f>AV10-AV8</f>
        <v>0.5</v>
      </c>
      <c r="AX18" t="s">
        <v>103</v>
      </c>
      <c r="AY18">
        <f>AY10-AY8</f>
        <v>9.9999999999999978E-2</v>
      </c>
      <c r="AZ18">
        <f t="shared" ref="AZ18:BA18" si="24">AZ10-AZ8</f>
        <v>0.30000000000000004</v>
      </c>
      <c r="BA18">
        <f>BA10-BA8</f>
        <v>0.49999999999999978</v>
      </c>
    </row>
    <row r="19" spans="1:53" x14ac:dyDescent="0.25">
      <c r="A19" s="1">
        <v>5</v>
      </c>
      <c r="B19" s="1">
        <v>2.7</v>
      </c>
      <c r="C19" s="1">
        <v>1.4</v>
      </c>
      <c r="D19" s="1">
        <v>0.2</v>
      </c>
      <c r="L19" s="3">
        <v>4.9000000000000004</v>
      </c>
      <c r="T19" s="3">
        <v>2.5</v>
      </c>
      <c r="V19">
        <v>2</v>
      </c>
      <c r="X19" s="22" t="s">
        <v>74</v>
      </c>
      <c r="Y19" s="17">
        <v>1</v>
      </c>
      <c r="AA19" s="3">
        <v>1.4</v>
      </c>
      <c r="AC19" s="30">
        <v>4.7</v>
      </c>
      <c r="AD19" s="30">
        <v>3.3</v>
      </c>
      <c r="AE19" s="30">
        <v>1.4</v>
      </c>
      <c r="AF19" s="30">
        <v>0.2</v>
      </c>
      <c r="AG19" s="30" t="s">
        <v>5</v>
      </c>
      <c r="AI19" t="s">
        <v>104</v>
      </c>
      <c r="AJ19">
        <f>AJ18*1.5</f>
        <v>0.78750000000000053</v>
      </c>
      <c r="AK19">
        <f t="shared" ref="AK19:AL19" si="25">AK18*1.5</f>
        <v>1.2375000000000016</v>
      </c>
      <c r="AL19">
        <f t="shared" si="25"/>
        <v>1.3874999999999997</v>
      </c>
      <c r="AN19" t="s">
        <v>104</v>
      </c>
      <c r="AO19">
        <f>AO18*1.5</f>
        <v>0.67500000000000027</v>
      </c>
      <c r="AP19">
        <f t="shared" ref="AP19" si="26">AP18*1.5</f>
        <v>0.4874999999999996</v>
      </c>
      <c r="AQ19">
        <f t="shared" ref="AQ19" si="27">AQ18*1.5</f>
        <v>0.52500000000000013</v>
      </c>
      <c r="AS19" t="s">
        <v>104</v>
      </c>
      <c r="AT19">
        <f>AT18*1.5</f>
        <v>0.1875</v>
      </c>
      <c r="AU19">
        <f t="shared" ref="AU19" si="28">AU18*1.5</f>
        <v>0.93750000000000133</v>
      </c>
      <c r="AV19">
        <f t="shared" ref="AV19" si="29">AV18*1.5</f>
        <v>0.75</v>
      </c>
      <c r="AX19" t="s">
        <v>104</v>
      </c>
      <c r="AY19">
        <f>AY18*1.5</f>
        <v>0.14999999999999997</v>
      </c>
      <c r="AZ19">
        <f t="shared" ref="AZ19" si="30">AZ18*1.5</f>
        <v>0.45000000000000007</v>
      </c>
      <c r="BA19">
        <f t="shared" ref="BA19" si="31">BA18*1.5</f>
        <v>0.74999999999999967</v>
      </c>
    </row>
    <row r="20" spans="1:53" x14ac:dyDescent="0.25">
      <c r="A20" s="1">
        <v>5</v>
      </c>
      <c r="B20" s="1">
        <v>2.7</v>
      </c>
      <c r="C20" s="1">
        <v>1.5</v>
      </c>
      <c r="D20" s="1">
        <v>0.2</v>
      </c>
      <c r="L20" s="3">
        <v>4.9000000000000004</v>
      </c>
      <c r="T20" s="3">
        <v>2.5</v>
      </c>
      <c r="V20">
        <v>2.5</v>
      </c>
      <c r="X20" s="22" t="s">
        <v>75</v>
      </c>
      <c r="Y20" s="17">
        <v>18</v>
      </c>
      <c r="AA20" s="3">
        <v>1.4</v>
      </c>
      <c r="AC20" s="30">
        <v>5.2</v>
      </c>
      <c r="AD20" s="30">
        <v>3.5</v>
      </c>
      <c r="AE20" s="30">
        <v>1.4</v>
      </c>
      <c r="AF20" s="30">
        <v>0.2</v>
      </c>
      <c r="AG20" s="30" t="s">
        <v>5</v>
      </c>
      <c r="AI20" t="s">
        <v>105</v>
      </c>
      <c r="AJ20">
        <f>AJ18*3</f>
        <v>1.5750000000000011</v>
      </c>
      <c r="AK20">
        <f t="shared" ref="AK20:AL20" si="32">AK18*3</f>
        <v>2.4750000000000032</v>
      </c>
      <c r="AL20">
        <f t="shared" si="32"/>
        <v>2.7749999999999995</v>
      </c>
      <c r="AN20" t="s">
        <v>105</v>
      </c>
      <c r="AO20">
        <f>AO18*3</f>
        <v>1.3500000000000005</v>
      </c>
      <c r="AP20">
        <f t="shared" ref="AP20:AQ20" si="33">AP18*3</f>
        <v>0.9749999999999992</v>
      </c>
      <c r="AQ20">
        <f t="shared" si="33"/>
        <v>1.0500000000000003</v>
      </c>
      <c r="AS20" t="s">
        <v>105</v>
      </c>
      <c r="AT20">
        <f>AT18*3</f>
        <v>0.375</v>
      </c>
      <c r="AU20">
        <f t="shared" ref="AU20:AV20" si="34">AU18*3</f>
        <v>1.8750000000000027</v>
      </c>
      <c r="AV20">
        <f t="shared" si="34"/>
        <v>1.5</v>
      </c>
      <c r="AX20" t="s">
        <v>105</v>
      </c>
      <c r="AY20">
        <f>AY18*3</f>
        <v>0.29999999999999993</v>
      </c>
      <c r="AZ20">
        <f t="shared" ref="AZ20:BA20" si="35">AZ18*3</f>
        <v>0.90000000000000013</v>
      </c>
      <c r="BA20">
        <f t="shared" si="35"/>
        <v>1.4999999999999993</v>
      </c>
    </row>
    <row r="21" spans="1:53" ht="16.5" x14ac:dyDescent="0.25">
      <c r="A21" s="1">
        <v>5</v>
      </c>
      <c r="B21" s="1">
        <v>2.7</v>
      </c>
      <c r="C21" s="1">
        <v>1.5</v>
      </c>
      <c r="D21" s="1">
        <v>0.2</v>
      </c>
      <c r="L21">
        <v>4.9000000000000004</v>
      </c>
      <c r="T21" s="3">
        <v>2.6</v>
      </c>
      <c r="V21">
        <v>3</v>
      </c>
      <c r="X21" s="22" t="s">
        <v>76</v>
      </c>
      <c r="Y21" s="17">
        <v>64</v>
      </c>
      <c r="AA21">
        <v>1.4</v>
      </c>
      <c r="AC21" s="30">
        <v>5.5</v>
      </c>
      <c r="AD21" s="30">
        <v>3.5</v>
      </c>
      <c r="AE21" s="30">
        <v>1.4</v>
      </c>
      <c r="AF21" s="30">
        <v>0.3</v>
      </c>
      <c r="AG21" s="30" t="s">
        <v>5</v>
      </c>
      <c r="AI21" s="29" t="s">
        <v>106</v>
      </c>
      <c r="AJ21">
        <f>AJ8-AJ20</f>
        <v>3.2249999999999988</v>
      </c>
      <c r="AK21">
        <f t="shared" ref="AK21:AL21" si="36">AK8-AK20</f>
        <v>3.0999999999999961</v>
      </c>
      <c r="AL21">
        <f t="shared" si="36"/>
        <v>3.0250000000000004</v>
      </c>
      <c r="AN21" s="29" t="s">
        <v>106</v>
      </c>
      <c r="AO21">
        <f>AO8-AO20</f>
        <v>1.9249999999999994</v>
      </c>
      <c r="AP21">
        <f t="shared" ref="AP21" si="37">AP8-AP20</f>
        <v>1.7000000000000011</v>
      </c>
      <c r="AQ21">
        <f t="shared" ref="AQ21" si="38">AQ8-AQ20</f>
        <v>1.7249999999999996</v>
      </c>
      <c r="AS21" s="29" t="s">
        <v>106</v>
      </c>
      <c r="AT21">
        <f>AT8-AT20</f>
        <v>1</v>
      </c>
      <c r="AU21">
        <f t="shared" ref="AU21" si="39">AU8-AU20</f>
        <v>2.1999999999999966</v>
      </c>
      <c r="AV21">
        <f t="shared" ref="AV21" si="40">AV8-AV20</f>
        <v>3.5999999999999996</v>
      </c>
      <c r="AX21" s="29" t="s">
        <v>106</v>
      </c>
      <c r="AY21">
        <f>AY8-AY20</f>
        <v>-9.9999999999999922E-2</v>
      </c>
      <c r="AZ21">
        <f t="shared" ref="AZ21" si="41">AZ8-AZ20</f>
        <v>0.29999999999999982</v>
      </c>
      <c r="BA21">
        <f t="shared" ref="BA21" si="42">BA8-BA20</f>
        <v>0.30000000000000071</v>
      </c>
    </row>
    <row r="22" spans="1:53" x14ac:dyDescent="0.25">
      <c r="A22" s="1">
        <v>5</v>
      </c>
      <c r="B22" s="1">
        <v>2.7</v>
      </c>
      <c r="C22" s="1">
        <v>1.5</v>
      </c>
      <c r="D22" s="1">
        <v>0.2</v>
      </c>
      <c r="L22" s="3">
        <v>4.9000000000000004</v>
      </c>
      <c r="T22">
        <v>2.6</v>
      </c>
      <c r="V22">
        <v>3.5</v>
      </c>
      <c r="X22" s="22" t="s">
        <v>77</v>
      </c>
      <c r="Y22" s="17">
        <v>49</v>
      </c>
      <c r="AA22">
        <v>1.4</v>
      </c>
      <c r="AC22" s="30">
        <v>4.9000000000000004</v>
      </c>
      <c r="AD22" s="30">
        <v>3.8</v>
      </c>
      <c r="AE22" s="30">
        <v>1.5</v>
      </c>
      <c r="AF22" s="30">
        <v>0.3</v>
      </c>
      <c r="AG22" s="30" t="s">
        <v>5</v>
      </c>
      <c r="AI22" t="s">
        <v>107</v>
      </c>
      <c r="AJ22">
        <f>AJ10+AJ20</f>
        <v>6.9000000000000012</v>
      </c>
      <c r="AK22">
        <f t="shared" ref="AK22:AL22" si="43">AK10+AK20</f>
        <v>8.8750000000000036</v>
      </c>
      <c r="AL22">
        <f t="shared" si="43"/>
        <v>9.5</v>
      </c>
      <c r="AN22" t="s">
        <v>107</v>
      </c>
      <c r="AO22">
        <f>AO10+AO20</f>
        <v>5.0750000000000011</v>
      </c>
      <c r="AP22">
        <f t="shared" ref="AP22:AQ22" si="44">AP10+AP20</f>
        <v>3.9749999999999992</v>
      </c>
      <c r="AQ22">
        <f t="shared" si="44"/>
        <v>4.1750000000000007</v>
      </c>
      <c r="AS22" t="s">
        <v>107</v>
      </c>
      <c r="AT22">
        <f>AT10+AT20</f>
        <v>1.875</v>
      </c>
      <c r="AU22">
        <f t="shared" ref="AU22:AV22" si="45">AU10+AU20</f>
        <v>6.5750000000000028</v>
      </c>
      <c r="AV22">
        <f t="shared" si="45"/>
        <v>7.1</v>
      </c>
      <c r="AX22" t="s">
        <v>107</v>
      </c>
      <c r="AY22">
        <f>AY10+AY20</f>
        <v>0.59999999999999987</v>
      </c>
      <c r="AZ22">
        <f t="shared" ref="AZ22:BA22" si="46">AZ10+AZ20</f>
        <v>2.4000000000000004</v>
      </c>
      <c r="BA22">
        <f t="shared" si="46"/>
        <v>3.7999999999999989</v>
      </c>
    </row>
    <row r="23" spans="1:53" x14ac:dyDescent="0.25">
      <c r="A23" s="1">
        <v>5</v>
      </c>
      <c r="B23" s="1">
        <v>2.7</v>
      </c>
      <c r="C23" s="1">
        <v>1.5</v>
      </c>
      <c r="D23" s="1">
        <v>0.2</v>
      </c>
      <c r="L23">
        <v>4.9000000000000004</v>
      </c>
      <c r="T23">
        <v>2.6</v>
      </c>
      <c r="V23">
        <v>4</v>
      </c>
      <c r="X23" s="22" t="s">
        <v>78</v>
      </c>
      <c r="Y23" s="17">
        <v>15</v>
      </c>
      <c r="AA23">
        <v>1.4</v>
      </c>
      <c r="AC23" s="30">
        <v>5</v>
      </c>
      <c r="AD23" s="30">
        <v>3.7</v>
      </c>
      <c r="AE23" s="30">
        <v>1.5</v>
      </c>
      <c r="AF23" s="30">
        <v>0.4</v>
      </c>
      <c r="AG23" s="30" t="s">
        <v>5</v>
      </c>
      <c r="AI23" t="s">
        <v>108</v>
      </c>
      <c r="AJ23">
        <f>AJ8-AJ19</f>
        <v>4.0124999999999993</v>
      </c>
      <c r="AK23">
        <f t="shared" ref="AK23:AL23" si="47">AK8-AK19</f>
        <v>4.3374999999999977</v>
      </c>
      <c r="AL23">
        <f t="shared" si="47"/>
        <v>4.4124999999999996</v>
      </c>
      <c r="AN23" t="s">
        <v>108</v>
      </c>
      <c r="AO23">
        <f>AO8-AO19</f>
        <v>2.5999999999999996</v>
      </c>
      <c r="AP23">
        <f t="shared" ref="AP23:AQ23" si="48">AP8-AP19</f>
        <v>2.1875000000000009</v>
      </c>
      <c r="AQ23">
        <f t="shared" si="48"/>
        <v>2.25</v>
      </c>
      <c r="AS23" t="s">
        <v>108</v>
      </c>
      <c r="AT23">
        <f>AT8-AT19</f>
        <v>1.1875</v>
      </c>
      <c r="AU23">
        <f t="shared" ref="AU23:AV23" si="49">AU8-AU19</f>
        <v>3.137499999999998</v>
      </c>
      <c r="AV23">
        <f t="shared" si="49"/>
        <v>4.3499999999999996</v>
      </c>
      <c r="AX23" t="s">
        <v>108</v>
      </c>
      <c r="AY23">
        <f>AY8-AY19</f>
        <v>5.0000000000000044E-2</v>
      </c>
      <c r="AZ23">
        <f t="shared" ref="AZ23:BA23" si="50">AZ8-AZ19</f>
        <v>0.74999999999999989</v>
      </c>
      <c r="BA23">
        <f t="shared" si="50"/>
        <v>1.0500000000000003</v>
      </c>
    </row>
    <row r="24" spans="1:53" x14ac:dyDescent="0.25">
      <c r="A24" s="1">
        <v>5</v>
      </c>
      <c r="B24" s="1">
        <v>2.7</v>
      </c>
      <c r="C24" s="1">
        <v>1.5</v>
      </c>
      <c r="D24" s="1">
        <v>0.2</v>
      </c>
      <c r="L24" s="3">
        <v>5</v>
      </c>
      <c r="T24" s="3">
        <v>2.6</v>
      </c>
      <c r="V24">
        <v>4.5</v>
      </c>
      <c r="X24" s="22" t="s">
        <v>79</v>
      </c>
      <c r="Y24" s="17">
        <v>3</v>
      </c>
      <c r="AA24">
        <v>1.4</v>
      </c>
      <c r="AC24" s="30">
        <v>5.5</v>
      </c>
      <c r="AD24" s="30">
        <v>3.3</v>
      </c>
      <c r="AE24" s="30">
        <v>1.7</v>
      </c>
      <c r="AF24" s="30">
        <v>0.5</v>
      </c>
      <c r="AG24" s="30" t="s">
        <v>5</v>
      </c>
      <c r="AI24" t="s">
        <v>109</v>
      </c>
      <c r="AJ24">
        <f>AJ10+AJ19</f>
        <v>6.1125000000000007</v>
      </c>
      <c r="AK24">
        <f t="shared" ref="AK24:AL24" si="51">AK10+AK19</f>
        <v>7.637500000000002</v>
      </c>
      <c r="AL24">
        <f t="shared" si="51"/>
        <v>8.1124999999999989</v>
      </c>
      <c r="AN24" t="s">
        <v>109</v>
      </c>
      <c r="AO24">
        <f>AO10+AO19</f>
        <v>4.4000000000000004</v>
      </c>
      <c r="AP24">
        <f t="shared" ref="AP24:AQ24" si="52">AP10+AP19</f>
        <v>3.4874999999999998</v>
      </c>
      <c r="AQ24">
        <f t="shared" si="52"/>
        <v>3.6500000000000004</v>
      </c>
      <c r="AS24" t="s">
        <v>109</v>
      </c>
      <c r="AT24">
        <f>AT10+AT19</f>
        <v>1.6875</v>
      </c>
      <c r="AU24">
        <f t="shared" ref="AU24:AV24" si="53">AU10+AU19</f>
        <v>5.6375000000000011</v>
      </c>
      <c r="AV24">
        <f t="shared" si="53"/>
        <v>6.35</v>
      </c>
      <c r="AX24" t="s">
        <v>109</v>
      </c>
      <c r="AY24">
        <f>AY10+AY19</f>
        <v>0.44999999999999996</v>
      </c>
      <c r="AZ24">
        <f t="shared" ref="AZ24:BA24" si="54">AZ10+AZ19</f>
        <v>1.9500000000000002</v>
      </c>
      <c r="BA24">
        <f t="shared" si="54"/>
        <v>3.0499999999999994</v>
      </c>
    </row>
    <row r="25" spans="1:53" ht="15.75" thickBot="1" x14ac:dyDescent="0.3">
      <c r="A25" s="1">
        <v>5</v>
      </c>
      <c r="B25" s="1">
        <v>2.7</v>
      </c>
      <c r="C25" s="1">
        <v>1.5</v>
      </c>
      <c r="D25" s="1">
        <v>0.2</v>
      </c>
      <c r="L25" s="3">
        <v>5</v>
      </c>
      <c r="T25" s="3">
        <v>2.6</v>
      </c>
      <c r="X25" s="23" t="s">
        <v>59</v>
      </c>
      <c r="Y25" s="18">
        <v>0</v>
      </c>
      <c r="AA25" s="3">
        <v>1.5</v>
      </c>
      <c r="AC25" s="30">
        <v>4.9000000000000004</v>
      </c>
      <c r="AD25" s="30">
        <v>3.4</v>
      </c>
      <c r="AE25" s="30">
        <v>1.5</v>
      </c>
      <c r="AF25" s="30">
        <v>0.2</v>
      </c>
      <c r="AG25" s="30" t="s">
        <v>5</v>
      </c>
      <c r="AJ25" t="s">
        <v>10</v>
      </c>
      <c r="AL25" t="s">
        <v>110</v>
      </c>
    </row>
    <row r="26" spans="1:53" x14ac:dyDescent="0.25">
      <c r="A26" s="1">
        <v>5</v>
      </c>
      <c r="B26" s="1">
        <v>2.7</v>
      </c>
      <c r="C26" s="1">
        <v>1.5</v>
      </c>
      <c r="D26" s="1">
        <v>0.2</v>
      </c>
      <c r="L26" s="3">
        <v>5</v>
      </c>
      <c r="T26" s="3">
        <v>2.7</v>
      </c>
      <c r="AA26" s="3">
        <v>1.5</v>
      </c>
      <c r="AC26" s="30">
        <v>4.4000000000000004</v>
      </c>
      <c r="AD26" s="30">
        <v>3.8</v>
      </c>
      <c r="AE26" s="30">
        <v>1.9</v>
      </c>
      <c r="AF26" s="30">
        <v>0.4</v>
      </c>
      <c r="AG26" s="30" t="s">
        <v>5</v>
      </c>
      <c r="AJ26">
        <f>COUNTIFS(AF2:AF41,"&gt;="&amp;$AK$26)</f>
        <v>0</v>
      </c>
      <c r="AK26">
        <v>3.05</v>
      </c>
      <c r="AL26">
        <f>COUNTIFS(AF2:AF41,"&lt;="&amp;$AK$26)</f>
        <v>40</v>
      </c>
    </row>
    <row r="27" spans="1:53" x14ac:dyDescent="0.25">
      <c r="A27" s="1">
        <v>5.0999999999999996</v>
      </c>
      <c r="B27" s="1">
        <v>2.8</v>
      </c>
      <c r="C27" s="1">
        <v>1.5</v>
      </c>
      <c r="D27" s="1">
        <v>0.3</v>
      </c>
      <c r="L27" s="3">
        <v>5</v>
      </c>
      <c r="T27" s="3">
        <v>2.7</v>
      </c>
      <c r="AA27" s="3">
        <v>1.5</v>
      </c>
      <c r="AC27" s="30">
        <v>5.0999999999999996</v>
      </c>
      <c r="AD27" s="30">
        <v>3.8</v>
      </c>
      <c r="AE27" s="30">
        <v>1.6</v>
      </c>
      <c r="AF27" s="30">
        <v>0.2</v>
      </c>
      <c r="AG27" s="30" t="s">
        <v>5</v>
      </c>
      <c r="AJ27">
        <f>COUNTIFS(AF42:AF81,"&gt;="&amp;AK26)</f>
        <v>0</v>
      </c>
      <c r="AL27">
        <f>COUNTIFS(AF42:AF81,"&lt;="&amp;AK26)</f>
        <v>40</v>
      </c>
    </row>
    <row r="28" spans="1:53" x14ac:dyDescent="0.25">
      <c r="A28" s="1">
        <v>5.0999999999999996</v>
      </c>
      <c r="B28" s="1">
        <v>2.8</v>
      </c>
      <c r="C28" s="1">
        <v>1.5</v>
      </c>
      <c r="D28" s="1">
        <v>0.3</v>
      </c>
      <c r="L28" s="3">
        <v>5</v>
      </c>
      <c r="T28" s="3">
        <v>2.7</v>
      </c>
      <c r="AA28" s="3">
        <v>1.5</v>
      </c>
      <c r="AC28" s="30">
        <v>4.5</v>
      </c>
      <c r="AD28" s="30">
        <v>3.5</v>
      </c>
      <c r="AE28" s="30">
        <v>1.5</v>
      </c>
      <c r="AF28" s="30">
        <v>0.2</v>
      </c>
      <c r="AG28" s="30" t="s">
        <v>5</v>
      </c>
      <c r="AJ28">
        <f>COUNTIFS($AF$82:$AF$121,"&gt;="&amp;$AK$26)</f>
        <v>0</v>
      </c>
      <c r="AL28">
        <f>COUNTIFS($AF$82:$AF$121,"&lt;="&amp;$AK$26)</f>
        <v>40</v>
      </c>
    </row>
    <row r="29" spans="1:53" x14ac:dyDescent="0.25">
      <c r="A29" s="1">
        <v>5.0999999999999996</v>
      </c>
      <c r="B29" s="1">
        <v>2.8</v>
      </c>
      <c r="C29" s="1">
        <v>1.5</v>
      </c>
      <c r="D29" s="1">
        <v>0.3</v>
      </c>
      <c r="L29" s="3">
        <v>5</v>
      </c>
      <c r="T29" s="3">
        <v>2.7</v>
      </c>
      <c r="AA29" s="3">
        <v>1.5</v>
      </c>
      <c r="AC29" s="30">
        <v>4.4000000000000004</v>
      </c>
      <c r="AD29" s="30">
        <v>3.4</v>
      </c>
      <c r="AE29" s="30">
        <v>1.4</v>
      </c>
      <c r="AF29" s="30">
        <v>0.2</v>
      </c>
      <c r="AG29" s="30" t="s">
        <v>5</v>
      </c>
    </row>
    <row r="30" spans="1:53" x14ac:dyDescent="0.25">
      <c r="A30" s="1">
        <v>5.0999999999999996</v>
      </c>
      <c r="B30" s="1">
        <v>2.8</v>
      </c>
      <c r="C30" s="1">
        <v>1.5</v>
      </c>
      <c r="D30" s="1">
        <v>0.3</v>
      </c>
      <c r="L30" s="3">
        <v>5</v>
      </c>
      <c r="T30">
        <v>2.7</v>
      </c>
      <c r="AA30" s="3">
        <v>1.5</v>
      </c>
      <c r="AC30" s="30">
        <v>5</v>
      </c>
      <c r="AD30" s="30">
        <v>4.0999999999999996</v>
      </c>
      <c r="AE30" s="30">
        <v>1.5</v>
      </c>
      <c r="AF30" s="30">
        <v>0.1</v>
      </c>
      <c r="AG30" s="30" t="s">
        <v>5</v>
      </c>
    </row>
    <row r="31" spans="1:53" x14ac:dyDescent="0.25">
      <c r="A31" s="1">
        <v>5.0999999999999996</v>
      </c>
      <c r="B31" s="1">
        <v>2.8</v>
      </c>
      <c r="C31" s="1">
        <v>1.5</v>
      </c>
      <c r="D31" s="1">
        <v>0.3</v>
      </c>
      <c r="L31" s="3">
        <v>5</v>
      </c>
      <c r="T31" s="3">
        <v>2.7</v>
      </c>
      <c r="AA31" s="3">
        <v>1.5</v>
      </c>
      <c r="AC31" s="30">
        <v>4.8</v>
      </c>
      <c r="AD31" s="30">
        <v>3.7</v>
      </c>
      <c r="AE31" s="30">
        <v>1.5</v>
      </c>
      <c r="AF31" s="30">
        <v>0.2</v>
      </c>
      <c r="AG31" s="30" t="s">
        <v>5</v>
      </c>
    </row>
    <row r="32" spans="1:53" x14ac:dyDescent="0.25">
      <c r="A32" s="7">
        <v>5.0999999999999996</v>
      </c>
      <c r="B32" s="7">
        <v>2.8</v>
      </c>
      <c r="C32" s="7">
        <v>1.5</v>
      </c>
      <c r="D32" s="7">
        <v>0.3</v>
      </c>
      <c r="L32">
        <v>5</v>
      </c>
      <c r="T32" s="3">
        <v>2.7</v>
      </c>
      <c r="AA32" s="3">
        <v>1.5</v>
      </c>
      <c r="AC32" s="30">
        <v>5.0999999999999996</v>
      </c>
      <c r="AD32" s="30">
        <v>3.9</v>
      </c>
      <c r="AE32" s="30">
        <v>1.7</v>
      </c>
      <c r="AF32" s="30">
        <v>0.4</v>
      </c>
      <c r="AG32" s="30" t="s">
        <v>5</v>
      </c>
    </row>
    <row r="33" spans="1:33" x14ac:dyDescent="0.25">
      <c r="A33" s="7">
        <v>5.0999999999999996</v>
      </c>
      <c r="B33" s="7">
        <v>2.8</v>
      </c>
      <c r="C33" s="7">
        <v>1.6</v>
      </c>
      <c r="D33" s="7">
        <v>0.4</v>
      </c>
      <c r="L33" s="3">
        <v>5</v>
      </c>
      <c r="T33" s="3">
        <v>2.7</v>
      </c>
      <c r="AA33" s="3">
        <v>1.5</v>
      </c>
      <c r="AC33" s="30">
        <v>4.5999999999999996</v>
      </c>
      <c r="AD33" s="30">
        <v>3.7</v>
      </c>
      <c r="AE33" s="30">
        <v>1.5</v>
      </c>
      <c r="AF33" s="30">
        <v>0.2</v>
      </c>
      <c r="AG33" s="30" t="s">
        <v>5</v>
      </c>
    </row>
    <row r="34" spans="1:33" x14ac:dyDescent="0.25">
      <c r="A34" s="7">
        <v>5.0999999999999996</v>
      </c>
      <c r="B34" s="7">
        <v>2.8</v>
      </c>
      <c r="C34" s="7">
        <v>1.6</v>
      </c>
      <c r="D34" s="7">
        <v>0.4</v>
      </c>
      <c r="L34" s="3">
        <v>5.0999999999999996</v>
      </c>
      <c r="T34" s="3">
        <v>2.7</v>
      </c>
      <c r="AA34" s="3">
        <v>1.5</v>
      </c>
      <c r="AC34" s="30">
        <v>5.3</v>
      </c>
      <c r="AD34" s="30">
        <v>3.9</v>
      </c>
      <c r="AE34" s="30">
        <v>1.3</v>
      </c>
      <c r="AF34" s="30">
        <v>0.4</v>
      </c>
      <c r="AG34" s="30" t="s">
        <v>5</v>
      </c>
    </row>
    <row r="35" spans="1:33" x14ac:dyDescent="0.25">
      <c r="A35" s="7">
        <v>5.2</v>
      </c>
      <c r="B35" s="7">
        <v>2.8</v>
      </c>
      <c r="C35" s="7">
        <v>1.6</v>
      </c>
      <c r="D35" s="7">
        <v>0.4</v>
      </c>
      <c r="L35" s="3">
        <v>5.0999999999999996</v>
      </c>
      <c r="T35" s="3">
        <v>2.8</v>
      </c>
      <c r="AA35" s="3">
        <v>1.5</v>
      </c>
      <c r="AC35" s="30">
        <v>5</v>
      </c>
      <c r="AD35" s="30">
        <v>3.4</v>
      </c>
      <c r="AE35" s="30">
        <v>1.7</v>
      </c>
      <c r="AF35" s="30">
        <v>0.2</v>
      </c>
      <c r="AG35" s="30" t="s">
        <v>5</v>
      </c>
    </row>
    <row r="36" spans="1:33" x14ac:dyDescent="0.25">
      <c r="A36" s="7">
        <v>5.2</v>
      </c>
      <c r="B36" s="7">
        <v>2.8</v>
      </c>
      <c r="C36" s="7">
        <v>1.6</v>
      </c>
      <c r="D36" s="7">
        <v>0.4</v>
      </c>
      <c r="L36" s="3">
        <v>5.0999999999999996</v>
      </c>
      <c r="T36" s="3">
        <v>2.8</v>
      </c>
      <c r="AA36" s="3">
        <v>1.5</v>
      </c>
      <c r="AC36" s="30">
        <v>7</v>
      </c>
      <c r="AD36" s="30">
        <v>3.4</v>
      </c>
      <c r="AE36" s="30">
        <v>1.5</v>
      </c>
      <c r="AF36" s="30">
        <v>0.4</v>
      </c>
      <c r="AG36" s="30" t="s">
        <v>5</v>
      </c>
    </row>
    <row r="37" spans="1:33" x14ac:dyDescent="0.25">
      <c r="A37" s="7">
        <v>5.2</v>
      </c>
      <c r="B37" s="7">
        <v>2.8</v>
      </c>
      <c r="C37" s="7">
        <v>1.7</v>
      </c>
      <c r="D37" s="7">
        <v>0.4</v>
      </c>
      <c r="L37" s="3">
        <v>5.0999999999999996</v>
      </c>
      <c r="T37" s="3">
        <v>2.8</v>
      </c>
      <c r="AA37" s="3">
        <v>1.5</v>
      </c>
      <c r="AC37" s="30">
        <v>6.9</v>
      </c>
      <c r="AD37" s="30">
        <v>4.2</v>
      </c>
      <c r="AE37" s="30">
        <v>1.4</v>
      </c>
      <c r="AF37" s="30">
        <v>0.2</v>
      </c>
      <c r="AG37" s="30" t="s">
        <v>5</v>
      </c>
    </row>
    <row r="38" spans="1:33" x14ac:dyDescent="0.25">
      <c r="A38" s="7">
        <v>5.3</v>
      </c>
      <c r="B38" s="7">
        <v>2.8</v>
      </c>
      <c r="C38" s="7">
        <v>1.7</v>
      </c>
      <c r="D38" s="7">
        <v>0.4</v>
      </c>
      <c r="L38" s="3">
        <v>5.0999999999999996</v>
      </c>
      <c r="T38" s="3">
        <v>2.8</v>
      </c>
      <c r="AA38">
        <v>1.5</v>
      </c>
      <c r="AC38" s="30">
        <v>5.5</v>
      </c>
      <c r="AD38" s="30">
        <v>3.5</v>
      </c>
      <c r="AE38" s="30">
        <v>1.3</v>
      </c>
      <c r="AF38" s="30">
        <v>0.2</v>
      </c>
      <c r="AG38" s="30" t="s">
        <v>5</v>
      </c>
    </row>
    <row r="39" spans="1:33" x14ac:dyDescent="0.25">
      <c r="A39" s="7">
        <v>5.4</v>
      </c>
      <c r="B39" s="7">
        <v>2.9</v>
      </c>
      <c r="C39" s="7">
        <v>1.7</v>
      </c>
      <c r="D39" s="7">
        <v>0.4</v>
      </c>
      <c r="L39">
        <v>5.0999999999999996</v>
      </c>
      <c r="T39" s="3">
        <v>2.8</v>
      </c>
      <c r="AA39" s="3">
        <v>1.6</v>
      </c>
      <c r="AC39" s="30">
        <v>6.7</v>
      </c>
      <c r="AD39" s="30">
        <v>4.4000000000000004</v>
      </c>
      <c r="AE39" s="30">
        <v>1.5</v>
      </c>
      <c r="AF39" s="30">
        <v>0.4</v>
      </c>
      <c r="AG39" s="30" t="s">
        <v>5</v>
      </c>
    </row>
    <row r="40" spans="1:33" x14ac:dyDescent="0.25">
      <c r="A40" s="7">
        <v>5.4</v>
      </c>
      <c r="B40" s="7">
        <v>2.9</v>
      </c>
      <c r="C40" s="7">
        <v>1.7</v>
      </c>
      <c r="D40" s="7">
        <v>0.5</v>
      </c>
      <c r="L40" s="3">
        <v>5.0999999999999996</v>
      </c>
      <c r="T40" s="3">
        <v>2.8</v>
      </c>
      <c r="AA40" s="3">
        <v>1.6</v>
      </c>
      <c r="AC40" s="30">
        <v>5.6</v>
      </c>
      <c r="AD40" s="30">
        <v>3.8</v>
      </c>
      <c r="AE40" s="30">
        <v>1.7</v>
      </c>
      <c r="AF40" s="30">
        <v>0.3</v>
      </c>
      <c r="AG40" s="30" t="s">
        <v>5</v>
      </c>
    </row>
    <row r="41" spans="1:33" x14ac:dyDescent="0.25">
      <c r="A41" s="7">
        <v>5.4</v>
      </c>
      <c r="B41" s="7">
        <v>2.9</v>
      </c>
      <c r="C41" s="7">
        <v>1.9</v>
      </c>
      <c r="D41" s="7">
        <v>0.6</v>
      </c>
      <c r="L41" s="3">
        <v>5.0999999999999996</v>
      </c>
      <c r="T41">
        <v>2.8</v>
      </c>
      <c r="AA41" s="3">
        <v>1.6</v>
      </c>
      <c r="AC41" s="30">
        <v>6.1</v>
      </c>
      <c r="AD41" s="30">
        <v>4</v>
      </c>
      <c r="AE41" s="30">
        <v>1.2</v>
      </c>
      <c r="AF41" s="30">
        <v>0.2</v>
      </c>
      <c r="AG41" s="30" t="s">
        <v>5</v>
      </c>
    </row>
    <row r="42" spans="1:33" x14ac:dyDescent="0.25">
      <c r="A42" s="7">
        <v>5.4</v>
      </c>
      <c r="B42" s="7">
        <v>2.9</v>
      </c>
      <c r="C42" s="7">
        <v>3</v>
      </c>
      <c r="D42" s="7">
        <v>1</v>
      </c>
      <c r="L42" s="3">
        <v>5.0999999999999996</v>
      </c>
      <c r="T42">
        <v>2.8</v>
      </c>
      <c r="AA42" s="3">
        <v>1.6</v>
      </c>
      <c r="AC42" s="30">
        <v>5.8</v>
      </c>
      <c r="AD42" s="30">
        <v>2.8</v>
      </c>
      <c r="AE42" s="30">
        <v>4.5</v>
      </c>
      <c r="AF42" s="30">
        <v>1.3</v>
      </c>
      <c r="AG42" s="30" t="s">
        <v>6</v>
      </c>
    </row>
    <row r="43" spans="1:33" x14ac:dyDescent="0.25">
      <c r="A43" s="7">
        <v>5.5</v>
      </c>
      <c r="B43" s="7">
        <v>2.9</v>
      </c>
      <c r="C43" s="7">
        <v>3.3</v>
      </c>
      <c r="D43" s="7">
        <v>1</v>
      </c>
      <c r="L43" s="3">
        <v>5.2</v>
      </c>
      <c r="T43" s="3">
        <v>2.8</v>
      </c>
      <c r="AA43">
        <v>1.6</v>
      </c>
      <c r="AC43" s="30">
        <v>6.2</v>
      </c>
      <c r="AD43" s="30">
        <v>2.6</v>
      </c>
      <c r="AE43" s="30">
        <v>3.5</v>
      </c>
      <c r="AF43" s="30">
        <v>1</v>
      </c>
      <c r="AG43" s="30" t="s">
        <v>6</v>
      </c>
    </row>
    <row r="44" spans="1:33" x14ac:dyDescent="0.25">
      <c r="A44" s="7">
        <v>5.5</v>
      </c>
      <c r="B44" s="7">
        <v>2.9</v>
      </c>
      <c r="C44" s="7">
        <v>3.3</v>
      </c>
      <c r="D44" s="7">
        <v>1</v>
      </c>
      <c r="L44" s="3">
        <v>5.2</v>
      </c>
      <c r="T44" s="3">
        <v>2.8</v>
      </c>
      <c r="AA44">
        <v>1.6</v>
      </c>
      <c r="AC44" s="30">
        <v>5.6</v>
      </c>
      <c r="AD44" s="30">
        <v>3</v>
      </c>
      <c r="AE44" s="30">
        <v>4.2</v>
      </c>
      <c r="AF44" s="30">
        <v>1.2</v>
      </c>
      <c r="AG44" s="30" t="s">
        <v>6</v>
      </c>
    </row>
    <row r="45" spans="1:33" x14ac:dyDescent="0.25">
      <c r="A45" s="7">
        <v>5.5</v>
      </c>
      <c r="B45" s="7">
        <v>2.9</v>
      </c>
      <c r="C45" s="7">
        <v>3.5</v>
      </c>
      <c r="D45" s="7">
        <v>1</v>
      </c>
      <c r="L45" s="3">
        <v>5.2</v>
      </c>
      <c r="T45" s="3">
        <v>2.8</v>
      </c>
      <c r="AA45">
        <v>1.6</v>
      </c>
      <c r="AC45" s="30">
        <v>5.9</v>
      </c>
      <c r="AD45" s="30">
        <v>2.9</v>
      </c>
      <c r="AE45" s="30">
        <v>4.2</v>
      </c>
      <c r="AF45" s="30">
        <v>1.3</v>
      </c>
      <c r="AG45" s="30" t="s">
        <v>6</v>
      </c>
    </row>
    <row r="46" spans="1:33" x14ac:dyDescent="0.25">
      <c r="A46" s="7">
        <v>5.5</v>
      </c>
      <c r="B46" s="7">
        <v>2.9</v>
      </c>
      <c r="C46" s="7">
        <v>3.5</v>
      </c>
      <c r="D46" s="7">
        <v>1</v>
      </c>
      <c r="L46">
        <v>5.2</v>
      </c>
      <c r="T46" s="3">
        <v>2.8</v>
      </c>
      <c r="AA46" s="3">
        <v>1.7</v>
      </c>
      <c r="AC46" s="30">
        <v>6.1</v>
      </c>
      <c r="AD46" s="30">
        <v>2.8</v>
      </c>
      <c r="AE46" s="30">
        <v>4.0999999999999996</v>
      </c>
      <c r="AF46" s="30">
        <v>1.3</v>
      </c>
      <c r="AG46" s="30" t="s">
        <v>6</v>
      </c>
    </row>
    <row r="47" spans="1:33" x14ac:dyDescent="0.25">
      <c r="A47" s="7">
        <v>5.5</v>
      </c>
      <c r="B47" s="7">
        <v>3</v>
      </c>
      <c r="C47" s="7">
        <v>3.9</v>
      </c>
      <c r="D47" s="7">
        <v>1</v>
      </c>
      <c r="L47" s="3">
        <v>5.3</v>
      </c>
      <c r="T47" s="3">
        <v>2.8</v>
      </c>
      <c r="AA47" s="3">
        <v>1.7</v>
      </c>
      <c r="AC47" s="30">
        <v>5.4</v>
      </c>
      <c r="AD47" s="30">
        <v>2.4</v>
      </c>
      <c r="AE47" s="30">
        <v>3.3</v>
      </c>
      <c r="AF47" s="30">
        <v>1</v>
      </c>
      <c r="AG47" s="30" t="s">
        <v>6</v>
      </c>
    </row>
    <row r="48" spans="1:33" x14ac:dyDescent="0.25">
      <c r="A48" s="7">
        <v>5.5</v>
      </c>
      <c r="B48" s="7">
        <v>3</v>
      </c>
      <c r="C48" s="7">
        <v>3.9</v>
      </c>
      <c r="D48" s="7">
        <v>1.1000000000000001</v>
      </c>
      <c r="L48" s="3">
        <v>5.4</v>
      </c>
      <c r="T48" s="3">
        <v>2.8</v>
      </c>
      <c r="AA48" s="3">
        <v>1.7</v>
      </c>
      <c r="AC48" s="30">
        <v>4.8</v>
      </c>
      <c r="AD48" s="30">
        <v>2</v>
      </c>
      <c r="AE48" s="30">
        <v>3.5</v>
      </c>
      <c r="AF48" s="30">
        <v>1</v>
      </c>
      <c r="AG48" s="30" t="s">
        <v>6</v>
      </c>
    </row>
    <row r="49" spans="1:33" x14ac:dyDescent="0.25">
      <c r="A49" s="7">
        <v>5.5</v>
      </c>
      <c r="B49" s="7">
        <v>3</v>
      </c>
      <c r="C49" s="7">
        <v>4</v>
      </c>
      <c r="D49" s="7">
        <v>1.2</v>
      </c>
      <c r="L49">
        <v>5.4</v>
      </c>
      <c r="T49" s="3">
        <v>2.9</v>
      </c>
      <c r="AA49" s="3">
        <v>1.7</v>
      </c>
      <c r="AC49" s="30">
        <v>5.4</v>
      </c>
      <c r="AD49" s="30">
        <v>2.2999999999999998</v>
      </c>
      <c r="AE49" s="30">
        <v>3.3</v>
      </c>
      <c r="AF49" s="30">
        <v>1</v>
      </c>
      <c r="AG49" s="30" t="s">
        <v>6</v>
      </c>
    </row>
    <row r="50" spans="1:33" x14ac:dyDescent="0.25">
      <c r="A50" s="7">
        <v>5.6</v>
      </c>
      <c r="B50" s="7">
        <v>3</v>
      </c>
      <c r="C50" s="7">
        <v>4</v>
      </c>
      <c r="D50" s="7">
        <v>1.2</v>
      </c>
      <c r="L50">
        <v>5.4</v>
      </c>
      <c r="T50" s="3">
        <v>2.9</v>
      </c>
      <c r="AA50" s="3">
        <v>1.9</v>
      </c>
      <c r="AC50" s="30">
        <v>5</v>
      </c>
      <c r="AD50" s="30">
        <v>2.5</v>
      </c>
      <c r="AE50" s="30">
        <v>3</v>
      </c>
      <c r="AF50" s="30">
        <v>1.1000000000000001</v>
      </c>
      <c r="AG50" s="30" t="s">
        <v>6</v>
      </c>
    </row>
    <row r="51" spans="1:33" x14ac:dyDescent="0.25">
      <c r="A51" s="7">
        <v>5.6</v>
      </c>
      <c r="B51" s="7">
        <v>3</v>
      </c>
      <c r="C51" s="7">
        <v>4</v>
      </c>
      <c r="D51" s="7">
        <v>1.2</v>
      </c>
      <c r="L51" s="3">
        <v>5.4</v>
      </c>
      <c r="T51">
        <v>2.9</v>
      </c>
      <c r="AA51">
        <v>1.9</v>
      </c>
      <c r="AC51" s="30">
        <v>5.0999999999999996</v>
      </c>
      <c r="AD51" s="30">
        <v>2.7</v>
      </c>
      <c r="AE51" s="30">
        <v>3.9</v>
      </c>
      <c r="AF51" s="30">
        <v>1.4</v>
      </c>
      <c r="AG51" s="30" t="s">
        <v>6</v>
      </c>
    </row>
    <row r="52" spans="1:33" x14ac:dyDescent="0.25">
      <c r="A52" s="7">
        <v>5.6</v>
      </c>
      <c r="B52" s="7">
        <v>3</v>
      </c>
      <c r="C52" s="7">
        <v>4.0999999999999996</v>
      </c>
      <c r="D52" s="7">
        <v>1.2</v>
      </c>
      <c r="L52" s="3">
        <v>5.4</v>
      </c>
      <c r="T52">
        <v>2.9</v>
      </c>
      <c r="AA52" s="3">
        <v>3</v>
      </c>
      <c r="AC52" s="30">
        <v>6.4</v>
      </c>
      <c r="AD52" s="30">
        <v>3</v>
      </c>
      <c r="AE52" s="30">
        <v>4.5</v>
      </c>
      <c r="AF52" s="30">
        <v>1.5</v>
      </c>
      <c r="AG52" s="30" t="s">
        <v>6</v>
      </c>
    </row>
    <row r="53" spans="1:33" x14ac:dyDescent="0.25">
      <c r="A53" s="7">
        <v>5.6</v>
      </c>
      <c r="B53" s="7">
        <v>3</v>
      </c>
      <c r="C53" s="7">
        <v>4.0999999999999996</v>
      </c>
      <c r="D53" s="7">
        <v>1.3</v>
      </c>
      <c r="L53" s="3">
        <v>5.4</v>
      </c>
      <c r="T53" s="3">
        <v>2.9</v>
      </c>
      <c r="AA53" s="3">
        <v>3.3</v>
      </c>
      <c r="AC53" s="30">
        <v>6.4</v>
      </c>
      <c r="AD53" s="30">
        <v>2.7</v>
      </c>
      <c r="AE53" s="30">
        <v>4.0999999999999996</v>
      </c>
      <c r="AF53" s="30">
        <v>1</v>
      </c>
      <c r="AG53" s="30" t="s">
        <v>6</v>
      </c>
    </row>
    <row r="54" spans="1:33" x14ac:dyDescent="0.25">
      <c r="A54" s="7">
        <v>5.6</v>
      </c>
      <c r="B54" s="7">
        <v>3</v>
      </c>
      <c r="C54" s="7">
        <v>4.2</v>
      </c>
      <c r="D54" s="7">
        <v>1.3</v>
      </c>
      <c r="L54" s="3">
        <v>5.5</v>
      </c>
      <c r="T54" s="3">
        <v>2.9</v>
      </c>
      <c r="AA54" s="3">
        <v>3.3</v>
      </c>
      <c r="AC54" s="30">
        <v>6.6</v>
      </c>
      <c r="AD54" s="30">
        <v>2.7</v>
      </c>
      <c r="AE54" s="30">
        <v>3.9</v>
      </c>
      <c r="AF54" s="30">
        <v>1.2</v>
      </c>
      <c r="AG54" s="30" t="s">
        <v>6</v>
      </c>
    </row>
    <row r="55" spans="1:33" x14ac:dyDescent="0.25">
      <c r="A55" s="7">
        <v>5.6</v>
      </c>
      <c r="B55" s="7">
        <v>3</v>
      </c>
      <c r="C55" s="7">
        <v>4.2</v>
      </c>
      <c r="D55" s="7">
        <v>1.3</v>
      </c>
      <c r="L55" s="3">
        <v>5.5</v>
      </c>
      <c r="T55" s="3">
        <v>2.9</v>
      </c>
      <c r="AA55" s="3">
        <v>3.5</v>
      </c>
      <c r="AC55" s="30">
        <v>6.8</v>
      </c>
      <c r="AD55" s="30">
        <v>2.6</v>
      </c>
      <c r="AE55" s="30">
        <v>4</v>
      </c>
      <c r="AF55" s="30">
        <v>1.2</v>
      </c>
      <c r="AG55" s="30" t="s">
        <v>6</v>
      </c>
    </row>
    <row r="56" spans="1:33" x14ac:dyDescent="0.25">
      <c r="A56" s="7">
        <v>5.7</v>
      </c>
      <c r="B56" s="7">
        <v>3</v>
      </c>
      <c r="C56" s="7">
        <v>4.2</v>
      </c>
      <c r="D56" s="7">
        <v>1.3</v>
      </c>
      <c r="L56" s="3">
        <v>5.5</v>
      </c>
      <c r="T56" s="3">
        <v>2.9</v>
      </c>
      <c r="AA56" s="3">
        <v>3.5</v>
      </c>
      <c r="AC56" s="30">
        <v>5.5</v>
      </c>
      <c r="AD56" s="30">
        <v>3</v>
      </c>
      <c r="AE56" s="30">
        <v>4.2</v>
      </c>
      <c r="AF56" s="30">
        <v>1.5</v>
      </c>
      <c r="AG56" s="30" t="s">
        <v>6</v>
      </c>
    </row>
    <row r="57" spans="1:33" x14ac:dyDescent="0.25">
      <c r="A57" s="7">
        <v>5.7</v>
      </c>
      <c r="B57" s="7">
        <v>3</v>
      </c>
      <c r="C57" s="7">
        <v>4.3</v>
      </c>
      <c r="D57" s="7">
        <v>1.3</v>
      </c>
      <c r="L57" s="3">
        <v>5.5</v>
      </c>
      <c r="T57" s="3">
        <v>2.9</v>
      </c>
      <c r="AA57">
        <v>3.6</v>
      </c>
      <c r="AC57" s="30">
        <v>5.5</v>
      </c>
      <c r="AD57" s="30">
        <v>3.2</v>
      </c>
      <c r="AE57" s="30">
        <v>4.8</v>
      </c>
      <c r="AF57" s="30">
        <v>1.8</v>
      </c>
      <c r="AG57" s="30" t="s">
        <v>6</v>
      </c>
    </row>
    <row r="58" spans="1:33" x14ac:dyDescent="0.25">
      <c r="A58" s="7">
        <v>5.7</v>
      </c>
      <c r="B58" s="7">
        <v>3</v>
      </c>
      <c r="C58" s="7">
        <v>4.3</v>
      </c>
      <c r="D58" s="7">
        <v>1.3</v>
      </c>
      <c r="L58" s="3">
        <v>5.5</v>
      </c>
      <c r="T58" s="3">
        <v>2.9</v>
      </c>
      <c r="AA58">
        <v>3.7</v>
      </c>
      <c r="AC58" s="30">
        <v>6</v>
      </c>
      <c r="AD58" s="30">
        <v>2.2000000000000002</v>
      </c>
      <c r="AE58" s="30">
        <v>4</v>
      </c>
      <c r="AF58" s="30">
        <v>1</v>
      </c>
      <c r="AG58" s="30" t="s">
        <v>6</v>
      </c>
    </row>
    <row r="59" spans="1:33" x14ac:dyDescent="0.25">
      <c r="A59" s="7">
        <v>5.7</v>
      </c>
      <c r="B59" s="7">
        <v>3</v>
      </c>
      <c r="C59" s="7">
        <v>4.4000000000000004</v>
      </c>
      <c r="D59" s="7">
        <v>1.3</v>
      </c>
      <c r="L59" s="3">
        <v>5.5</v>
      </c>
      <c r="T59" s="3">
        <v>3</v>
      </c>
      <c r="AA59">
        <v>3.8</v>
      </c>
      <c r="AC59" s="30">
        <v>5.4</v>
      </c>
      <c r="AD59" s="30">
        <v>2.9</v>
      </c>
      <c r="AE59" s="30">
        <v>4.5</v>
      </c>
      <c r="AF59" s="30">
        <v>1.5</v>
      </c>
      <c r="AG59" s="30" t="s">
        <v>6</v>
      </c>
    </row>
    <row r="60" spans="1:33" x14ac:dyDescent="0.25">
      <c r="A60" s="7">
        <v>5.7</v>
      </c>
      <c r="B60" s="7">
        <v>3</v>
      </c>
      <c r="C60" s="7">
        <v>4.4000000000000004</v>
      </c>
      <c r="D60" s="7">
        <v>1.3</v>
      </c>
      <c r="L60" s="3">
        <v>5.5</v>
      </c>
      <c r="T60" s="3">
        <v>3</v>
      </c>
      <c r="AA60">
        <v>3.9</v>
      </c>
      <c r="AC60" s="30">
        <v>6</v>
      </c>
      <c r="AD60" s="30">
        <v>2.7</v>
      </c>
      <c r="AE60" s="30">
        <v>5.0999999999999996</v>
      </c>
      <c r="AF60" s="30">
        <v>1.6</v>
      </c>
      <c r="AG60" s="30" t="s">
        <v>6</v>
      </c>
    </row>
    <row r="61" spans="1:33" x14ac:dyDescent="0.25">
      <c r="A61" s="7">
        <v>5.7</v>
      </c>
      <c r="B61" s="7">
        <v>3</v>
      </c>
      <c r="C61" s="7">
        <v>4.4000000000000004</v>
      </c>
      <c r="D61" s="7">
        <v>1.4</v>
      </c>
      <c r="L61" s="3">
        <v>5.6</v>
      </c>
      <c r="T61" s="3">
        <v>3</v>
      </c>
      <c r="AA61" s="3">
        <v>3.9</v>
      </c>
      <c r="AC61" s="30">
        <v>6.7</v>
      </c>
      <c r="AD61" s="30">
        <v>3.4</v>
      </c>
      <c r="AE61" s="30">
        <v>4.5</v>
      </c>
      <c r="AF61" s="30">
        <v>1.6</v>
      </c>
      <c r="AG61" s="30" t="s">
        <v>6</v>
      </c>
    </row>
    <row r="62" spans="1:33" x14ac:dyDescent="0.25">
      <c r="A62" s="8">
        <v>5.8</v>
      </c>
      <c r="B62" s="8">
        <v>3</v>
      </c>
      <c r="C62" s="8">
        <v>4.5</v>
      </c>
      <c r="D62" s="8">
        <v>1.4</v>
      </c>
      <c r="L62" s="3">
        <v>5.6</v>
      </c>
      <c r="T62">
        <v>3</v>
      </c>
      <c r="AA62" s="3">
        <v>3.9</v>
      </c>
      <c r="AC62" s="30">
        <v>5.5</v>
      </c>
      <c r="AD62" s="30">
        <v>2.9</v>
      </c>
      <c r="AE62" s="30">
        <v>4.7</v>
      </c>
      <c r="AF62" s="30">
        <v>1.4</v>
      </c>
      <c r="AG62" s="30" t="s">
        <v>6</v>
      </c>
    </row>
    <row r="63" spans="1:33" x14ac:dyDescent="0.25">
      <c r="A63" s="8">
        <v>5.8</v>
      </c>
      <c r="B63" s="8">
        <v>3</v>
      </c>
      <c r="C63" s="8">
        <v>4.5</v>
      </c>
      <c r="D63" s="8">
        <v>1.4</v>
      </c>
      <c r="L63" s="3">
        <v>5.6</v>
      </c>
      <c r="T63">
        <v>3</v>
      </c>
      <c r="AA63">
        <v>4</v>
      </c>
      <c r="AC63" s="30">
        <v>5.5</v>
      </c>
      <c r="AD63" s="30">
        <v>2.8</v>
      </c>
      <c r="AE63" s="30">
        <v>4</v>
      </c>
      <c r="AF63" s="30">
        <v>1.3</v>
      </c>
      <c r="AG63" s="30" t="s">
        <v>6</v>
      </c>
    </row>
    <row r="64" spans="1:33" x14ac:dyDescent="0.25">
      <c r="A64" s="8">
        <v>5.8</v>
      </c>
      <c r="B64" s="8">
        <v>3</v>
      </c>
      <c r="C64" s="8">
        <v>4.5</v>
      </c>
      <c r="D64" s="8">
        <v>1.4</v>
      </c>
      <c r="L64" s="3">
        <v>5.6</v>
      </c>
      <c r="T64">
        <v>3</v>
      </c>
      <c r="AA64">
        <v>4</v>
      </c>
      <c r="AC64" s="30">
        <v>6.1</v>
      </c>
      <c r="AD64" s="30">
        <v>2.8</v>
      </c>
      <c r="AE64" s="30">
        <v>4.7</v>
      </c>
      <c r="AF64" s="30">
        <v>1.2</v>
      </c>
      <c r="AG64" s="30" t="s">
        <v>6</v>
      </c>
    </row>
    <row r="65" spans="1:33" x14ac:dyDescent="0.25">
      <c r="A65" s="8">
        <v>5.8</v>
      </c>
      <c r="B65" s="8">
        <v>3.1</v>
      </c>
      <c r="C65" s="8">
        <v>4.5</v>
      </c>
      <c r="D65" s="8">
        <v>1.4</v>
      </c>
      <c r="L65" s="3">
        <v>5.6</v>
      </c>
      <c r="T65" s="3">
        <v>3</v>
      </c>
      <c r="AA65" s="3">
        <v>4</v>
      </c>
      <c r="AC65" s="30">
        <v>5.8</v>
      </c>
      <c r="AD65" s="30">
        <v>3</v>
      </c>
      <c r="AE65" s="30">
        <v>4.5999999999999996</v>
      </c>
      <c r="AF65" s="30">
        <v>1.4</v>
      </c>
      <c r="AG65" s="30" t="s">
        <v>6</v>
      </c>
    </row>
    <row r="66" spans="1:33" x14ac:dyDescent="0.25">
      <c r="A66" s="8">
        <v>5.8</v>
      </c>
      <c r="B66" s="8">
        <v>3.1</v>
      </c>
      <c r="C66" s="8">
        <v>4.5</v>
      </c>
      <c r="D66" s="8">
        <v>1.4</v>
      </c>
      <c r="L66" s="3">
        <v>5.6</v>
      </c>
      <c r="T66" s="3">
        <v>3</v>
      </c>
      <c r="AA66" s="3">
        <v>4</v>
      </c>
      <c r="AC66" s="30">
        <v>5.7</v>
      </c>
      <c r="AD66" s="30">
        <v>2.2000000000000002</v>
      </c>
      <c r="AE66" s="30">
        <v>4.5</v>
      </c>
      <c r="AF66" s="30">
        <v>1.5</v>
      </c>
      <c r="AG66" s="30" t="s">
        <v>6</v>
      </c>
    </row>
    <row r="67" spans="1:33" x14ac:dyDescent="0.25">
      <c r="A67" s="8">
        <v>5.9</v>
      </c>
      <c r="B67" s="8">
        <v>3.1</v>
      </c>
      <c r="C67" s="8">
        <v>4.5</v>
      </c>
      <c r="D67" s="8">
        <v>1.4</v>
      </c>
      <c r="L67" s="3">
        <v>5.7</v>
      </c>
      <c r="T67" s="3">
        <v>3</v>
      </c>
      <c r="AA67" s="3">
        <v>4</v>
      </c>
      <c r="AC67" s="30">
        <v>5.7</v>
      </c>
      <c r="AD67" s="30">
        <v>2.9</v>
      </c>
      <c r="AE67" s="30">
        <v>4.3</v>
      </c>
      <c r="AF67" s="30">
        <v>1.3</v>
      </c>
      <c r="AG67" s="30" t="s">
        <v>6</v>
      </c>
    </row>
    <row r="68" spans="1:33" x14ac:dyDescent="0.25">
      <c r="A68" s="8">
        <v>5.9</v>
      </c>
      <c r="B68" s="8">
        <v>3.1</v>
      </c>
      <c r="C68" s="8">
        <v>4.5</v>
      </c>
      <c r="D68" s="8">
        <v>1.4</v>
      </c>
      <c r="L68">
        <v>5.7</v>
      </c>
      <c r="T68" s="3">
        <v>3</v>
      </c>
      <c r="AA68">
        <v>4.0999999999999996</v>
      </c>
      <c r="AC68" s="30">
        <v>5.7</v>
      </c>
      <c r="AD68" s="30">
        <v>3.3</v>
      </c>
      <c r="AE68" s="30">
        <v>4.7</v>
      </c>
      <c r="AF68" s="30">
        <v>1.6</v>
      </c>
      <c r="AG68" s="30" t="s">
        <v>6</v>
      </c>
    </row>
    <row r="69" spans="1:33" x14ac:dyDescent="0.25">
      <c r="A69" s="8">
        <v>6</v>
      </c>
      <c r="B69" s="8">
        <v>3.1</v>
      </c>
      <c r="C69" s="8">
        <v>4.5999999999999996</v>
      </c>
      <c r="D69" s="8">
        <v>1.5</v>
      </c>
      <c r="L69" s="3">
        <v>5.7</v>
      </c>
      <c r="T69" s="3">
        <v>3</v>
      </c>
      <c r="AA69" s="3">
        <v>4.0999999999999996</v>
      </c>
      <c r="AC69" s="30">
        <v>6.3</v>
      </c>
      <c r="AD69" s="30">
        <v>2.5</v>
      </c>
      <c r="AE69" s="30">
        <v>4.9000000000000004</v>
      </c>
      <c r="AF69" s="30">
        <v>1.5</v>
      </c>
      <c r="AG69" s="30" t="s">
        <v>6</v>
      </c>
    </row>
    <row r="70" spans="1:33" x14ac:dyDescent="0.25">
      <c r="A70" s="8">
        <v>6</v>
      </c>
      <c r="B70" s="8">
        <v>3.1</v>
      </c>
      <c r="C70" s="8">
        <v>4.5999999999999996</v>
      </c>
      <c r="D70" s="8">
        <v>1.5</v>
      </c>
      <c r="L70" s="3">
        <v>5.7</v>
      </c>
      <c r="T70" s="3">
        <v>3</v>
      </c>
      <c r="AA70" s="3">
        <v>4.0999999999999996</v>
      </c>
      <c r="AC70" s="30">
        <v>5.8</v>
      </c>
      <c r="AD70" s="30">
        <v>2.2999999999999998</v>
      </c>
      <c r="AE70" s="30">
        <v>4.4000000000000004</v>
      </c>
      <c r="AF70" s="30">
        <v>1.3</v>
      </c>
      <c r="AG70" s="30" t="s">
        <v>6</v>
      </c>
    </row>
    <row r="71" spans="1:33" x14ac:dyDescent="0.25">
      <c r="A71" s="8">
        <v>6</v>
      </c>
      <c r="B71" s="8">
        <v>3.1</v>
      </c>
      <c r="C71" s="8">
        <v>4.5999999999999996</v>
      </c>
      <c r="D71" s="8">
        <v>1.5</v>
      </c>
      <c r="L71">
        <v>5.7</v>
      </c>
      <c r="T71" s="3">
        <v>3</v>
      </c>
      <c r="AA71">
        <v>4.2</v>
      </c>
      <c r="AC71" s="30">
        <v>6.7</v>
      </c>
      <c r="AD71" s="30">
        <v>3.2</v>
      </c>
      <c r="AE71" s="30">
        <v>4.5</v>
      </c>
      <c r="AF71" s="30">
        <v>1.5</v>
      </c>
      <c r="AG71" s="30" t="s">
        <v>6</v>
      </c>
    </row>
    <row r="72" spans="1:33" x14ac:dyDescent="0.25">
      <c r="A72" s="8">
        <v>6</v>
      </c>
      <c r="B72" s="8">
        <v>3.1</v>
      </c>
      <c r="C72" s="8">
        <v>4.7</v>
      </c>
      <c r="D72" s="8">
        <v>1.5</v>
      </c>
      <c r="L72" s="3">
        <v>5.7</v>
      </c>
      <c r="T72" s="3">
        <v>3</v>
      </c>
      <c r="AA72" s="3">
        <v>4.2</v>
      </c>
      <c r="AC72" s="30">
        <v>7.2</v>
      </c>
      <c r="AD72" s="30">
        <v>2.9</v>
      </c>
      <c r="AE72" s="30">
        <v>4.3</v>
      </c>
      <c r="AF72" s="30">
        <v>1.3</v>
      </c>
      <c r="AG72" s="30" t="s">
        <v>6</v>
      </c>
    </row>
    <row r="73" spans="1:33" x14ac:dyDescent="0.25">
      <c r="A73" s="8">
        <v>6.1</v>
      </c>
      <c r="B73" s="8">
        <v>3.1</v>
      </c>
      <c r="C73" s="8">
        <v>4.7</v>
      </c>
      <c r="D73" s="8">
        <v>1.5</v>
      </c>
      <c r="L73" s="3">
        <v>5.7</v>
      </c>
      <c r="T73" s="3">
        <v>3</v>
      </c>
      <c r="AA73" s="3">
        <v>4.2</v>
      </c>
      <c r="AC73" s="30">
        <v>6.4</v>
      </c>
      <c r="AD73" s="30">
        <v>2.8</v>
      </c>
      <c r="AE73" s="30">
        <v>4.5999999999999996</v>
      </c>
      <c r="AF73" s="30">
        <v>1.5</v>
      </c>
      <c r="AG73" s="30" t="s">
        <v>6</v>
      </c>
    </row>
    <row r="74" spans="1:33" x14ac:dyDescent="0.25">
      <c r="A74" s="8">
        <v>6.1</v>
      </c>
      <c r="B74" s="8">
        <v>3.1</v>
      </c>
      <c r="C74" s="8">
        <v>4.7</v>
      </c>
      <c r="D74" s="8">
        <v>1.5</v>
      </c>
      <c r="L74" s="3">
        <v>5.7</v>
      </c>
      <c r="T74">
        <v>3</v>
      </c>
      <c r="AA74" s="3">
        <v>4.2</v>
      </c>
      <c r="AC74" s="30">
        <v>6.9</v>
      </c>
      <c r="AD74" s="30">
        <v>2.9</v>
      </c>
      <c r="AE74" s="30">
        <v>4.5999999999999996</v>
      </c>
      <c r="AF74" s="30">
        <v>1.3</v>
      </c>
      <c r="AG74" s="30" t="s">
        <v>6</v>
      </c>
    </row>
    <row r="75" spans="1:33" x14ac:dyDescent="0.25">
      <c r="A75" s="8">
        <v>6.1</v>
      </c>
      <c r="B75" s="8">
        <v>3.2</v>
      </c>
      <c r="C75" s="8">
        <v>4.7</v>
      </c>
      <c r="D75" s="8">
        <v>1.5</v>
      </c>
      <c r="L75">
        <v>5.8</v>
      </c>
      <c r="T75">
        <v>3</v>
      </c>
      <c r="AA75" s="3">
        <v>4.3</v>
      </c>
      <c r="AC75" s="30">
        <v>5.6</v>
      </c>
      <c r="AD75" s="30">
        <v>3</v>
      </c>
      <c r="AE75" s="30">
        <v>4.4000000000000004</v>
      </c>
      <c r="AF75" s="30">
        <v>1.4</v>
      </c>
      <c r="AG75" s="30" t="s">
        <v>6</v>
      </c>
    </row>
    <row r="76" spans="1:33" x14ac:dyDescent="0.25">
      <c r="A76" s="8">
        <v>6.1</v>
      </c>
      <c r="B76" s="8">
        <v>3.2</v>
      </c>
      <c r="C76" s="8">
        <v>4.7</v>
      </c>
      <c r="D76" s="8">
        <v>1.5</v>
      </c>
      <c r="L76" s="3">
        <v>5.8</v>
      </c>
      <c r="T76">
        <v>3</v>
      </c>
      <c r="AA76" s="3">
        <v>4.3</v>
      </c>
      <c r="AC76" s="30">
        <v>7.7</v>
      </c>
      <c r="AD76" s="30">
        <v>3.1</v>
      </c>
      <c r="AE76" s="30">
        <v>4.4000000000000004</v>
      </c>
      <c r="AF76" s="30">
        <v>1.4</v>
      </c>
      <c r="AG76" s="30" t="s">
        <v>6</v>
      </c>
    </row>
    <row r="77" spans="1:33" x14ac:dyDescent="0.25">
      <c r="A77" s="8">
        <v>6.1</v>
      </c>
      <c r="B77" s="8">
        <v>3.2</v>
      </c>
      <c r="C77" s="8">
        <v>4.8</v>
      </c>
      <c r="D77" s="8">
        <v>1.5</v>
      </c>
      <c r="L77" s="3">
        <v>5.8</v>
      </c>
      <c r="T77">
        <v>3</v>
      </c>
      <c r="AA77">
        <v>4.4000000000000004</v>
      </c>
      <c r="AC77" s="30">
        <v>6.3</v>
      </c>
      <c r="AD77" s="30">
        <v>3</v>
      </c>
      <c r="AE77" s="30">
        <v>5</v>
      </c>
      <c r="AF77" s="30">
        <v>1.7</v>
      </c>
      <c r="AG77" s="30" t="s">
        <v>6</v>
      </c>
    </row>
    <row r="78" spans="1:33" x14ac:dyDescent="0.25">
      <c r="A78" s="8">
        <v>6.2</v>
      </c>
      <c r="B78" s="8">
        <v>3.2</v>
      </c>
      <c r="C78" s="8">
        <v>4.8</v>
      </c>
      <c r="D78" s="8">
        <v>1.5</v>
      </c>
      <c r="L78">
        <v>5.8</v>
      </c>
      <c r="T78">
        <v>3</v>
      </c>
      <c r="AA78" s="3">
        <v>4.4000000000000004</v>
      </c>
      <c r="AC78" s="30">
        <v>6.7</v>
      </c>
      <c r="AD78" s="30">
        <v>3.1</v>
      </c>
      <c r="AE78" s="30">
        <v>4.7</v>
      </c>
      <c r="AF78" s="30">
        <v>1.5</v>
      </c>
      <c r="AG78" s="30" t="s">
        <v>6</v>
      </c>
    </row>
    <row r="79" spans="1:33" x14ac:dyDescent="0.25">
      <c r="A79" s="8">
        <v>6.2</v>
      </c>
      <c r="B79" s="8">
        <v>3.2</v>
      </c>
      <c r="C79" s="8">
        <v>4.8</v>
      </c>
      <c r="D79" s="8">
        <v>1.5</v>
      </c>
      <c r="L79" s="3">
        <v>5.8</v>
      </c>
      <c r="T79" s="3">
        <v>3</v>
      </c>
      <c r="AA79" s="3">
        <v>4.4000000000000004</v>
      </c>
      <c r="AC79" s="30">
        <v>7.4</v>
      </c>
      <c r="AD79" s="30">
        <v>2.8</v>
      </c>
      <c r="AE79" s="30">
        <v>4.8</v>
      </c>
      <c r="AF79" s="30">
        <v>1.4</v>
      </c>
      <c r="AG79" s="30" t="s">
        <v>6</v>
      </c>
    </row>
    <row r="80" spans="1:33" x14ac:dyDescent="0.25">
      <c r="A80" s="8">
        <v>6.2</v>
      </c>
      <c r="B80" s="8">
        <v>3.2</v>
      </c>
      <c r="C80" s="8">
        <v>4.8</v>
      </c>
      <c r="D80" s="8">
        <v>1.6</v>
      </c>
      <c r="L80" s="3">
        <v>5.8</v>
      </c>
      <c r="T80" s="3">
        <v>3</v>
      </c>
      <c r="AA80" s="3">
        <v>4.4000000000000004</v>
      </c>
      <c r="AC80" s="30">
        <v>6.3</v>
      </c>
      <c r="AD80" s="30">
        <v>3.1</v>
      </c>
      <c r="AE80" s="30">
        <v>4.9000000000000004</v>
      </c>
      <c r="AF80" s="30">
        <v>1.5</v>
      </c>
      <c r="AG80" s="30" t="s">
        <v>6</v>
      </c>
    </row>
    <row r="81" spans="1:33" x14ac:dyDescent="0.25">
      <c r="A81" s="8">
        <v>6.2</v>
      </c>
      <c r="B81" s="8">
        <v>3.2</v>
      </c>
      <c r="C81" s="8">
        <v>4.9000000000000004</v>
      </c>
      <c r="D81" s="8">
        <v>1.6</v>
      </c>
      <c r="L81" s="3">
        <v>5.8</v>
      </c>
      <c r="T81" s="3">
        <v>3</v>
      </c>
      <c r="AA81" s="3">
        <v>4.5</v>
      </c>
      <c r="AC81" s="30">
        <v>6.4</v>
      </c>
      <c r="AD81" s="30">
        <v>3.2</v>
      </c>
      <c r="AE81" s="30">
        <v>4.7</v>
      </c>
      <c r="AF81" s="30">
        <v>1.4</v>
      </c>
      <c r="AG81" s="30" t="s">
        <v>6</v>
      </c>
    </row>
    <row r="82" spans="1:33" x14ac:dyDescent="0.25">
      <c r="A82" s="8">
        <v>6.3</v>
      </c>
      <c r="B82" s="8">
        <v>3.2</v>
      </c>
      <c r="C82" s="8">
        <v>4.9000000000000004</v>
      </c>
      <c r="D82" s="8">
        <v>1.6</v>
      </c>
      <c r="L82" s="3">
        <v>5.9</v>
      </c>
      <c r="T82" s="3">
        <v>3</v>
      </c>
      <c r="AA82">
        <v>4.5</v>
      </c>
      <c r="AC82" s="30">
        <v>6.3</v>
      </c>
      <c r="AD82" s="30">
        <v>2.2000000000000002</v>
      </c>
      <c r="AE82" s="30">
        <v>5</v>
      </c>
      <c r="AF82" s="30">
        <v>1.5</v>
      </c>
      <c r="AG82" s="30" t="s">
        <v>7</v>
      </c>
    </row>
    <row r="83" spans="1:33" x14ac:dyDescent="0.25">
      <c r="A83" s="8">
        <v>6.3</v>
      </c>
      <c r="B83" s="8">
        <v>3.2</v>
      </c>
      <c r="C83" s="8">
        <v>4.9000000000000004</v>
      </c>
      <c r="D83" s="8">
        <v>1.7</v>
      </c>
      <c r="L83">
        <v>5.9</v>
      </c>
      <c r="T83" s="3">
        <v>3</v>
      </c>
      <c r="AA83" s="3">
        <v>4.5</v>
      </c>
      <c r="AC83" s="30">
        <v>5.6</v>
      </c>
      <c r="AD83" s="30">
        <v>3</v>
      </c>
      <c r="AE83" s="30">
        <v>4.8</v>
      </c>
      <c r="AF83" s="30">
        <v>1.8</v>
      </c>
      <c r="AG83" s="30" t="s">
        <v>7</v>
      </c>
    </row>
    <row r="84" spans="1:33" x14ac:dyDescent="0.25">
      <c r="A84" s="8">
        <v>6.3</v>
      </c>
      <c r="B84" s="8">
        <v>3.3</v>
      </c>
      <c r="C84" s="8">
        <v>4.9000000000000004</v>
      </c>
      <c r="D84" s="8">
        <v>1.7</v>
      </c>
      <c r="L84" s="3">
        <v>5.9</v>
      </c>
      <c r="T84" s="3">
        <v>3</v>
      </c>
      <c r="AA84" s="3">
        <v>4.5</v>
      </c>
      <c r="AC84" s="30">
        <v>6.7</v>
      </c>
      <c r="AD84" s="30">
        <v>2.7</v>
      </c>
      <c r="AE84" s="30">
        <v>5.0999999999999996</v>
      </c>
      <c r="AF84" s="30">
        <v>1.9</v>
      </c>
      <c r="AG84" s="30" t="s">
        <v>7</v>
      </c>
    </row>
    <row r="85" spans="1:33" x14ac:dyDescent="0.25">
      <c r="A85" s="8">
        <v>6.3</v>
      </c>
      <c r="B85" s="8">
        <v>3.3</v>
      </c>
      <c r="C85" s="8">
        <v>4.9000000000000004</v>
      </c>
      <c r="D85" s="8">
        <v>1.8</v>
      </c>
      <c r="L85" s="3">
        <v>6</v>
      </c>
      <c r="T85" s="3">
        <v>3.1</v>
      </c>
      <c r="AA85" s="3">
        <v>4.5</v>
      </c>
      <c r="AC85" s="30">
        <v>6</v>
      </c>
      <c r="AD85" s="30">
        <v>2.8</v>
      </c>
      <c r="AE85" s="30">
        <v>5.0999999999999996</v>
      </c>
      <c r="AF85" s="30">
        <v>2.4</v>
      </c>
      <c r="AG85" s="30" t="s">
        <v>7</v>
      </c>
    </row>
    <row r="86" spans="1:33" x14ac:dyDescent="0.25">
      <c r="A86" s="8">
        <v>6.3</v>
      </c>
      <c r="B86" s="8">
        <v>3.3</v>
      </c>
      <c r="C86" s="8">
        <v>5</v>
      </c>
      <c r="D86" s="8">
        <v>1.8</v>
      </c>
      <c r="L86" s="3">
        <v>6</v>
      </c>
      <c r="T86" s="3">
        <v>3.1</v>
      </c>
      <c r="AA86" s="3">
        <v>4.5</v>
      </c>
      <c r="AC86" s="30">
        <v>5.7</v>
      </c>
      <c r="AD86" s="30">
        <v>2.7</v>
      </c>
      <c r="AE86" s="30">
        <v>5.0999999999999996</v>
      </c>
      <c r="AF86" s="30">
        <v>1.9</v>
      </c>
      <c r="AG86" s="30" t="s">
        <v>7</v>
      </c>
    </row>
    <row r="87" spans="1:33" x14ac:dyDescent="0.25">
      <c r="A87" s="8">
        <v>6.3</v>
      </c>
      <c r="B87" s="8">
        <v>3.3</v>
      </c>
      <c r="C87" s="8">
        <v>5</v>
      </c>
      <c r="D87" s="8">
        <v>1.8</v>
      </c>
      <c r="L87">
        <v>6</v>
      </c>
      <c r="T87" s="3">
        <v>3.1</v>
      </c>
      <c r="AA87" s="3">
        <v>4.5</v>
      </c>
      <c r="AC87" s="30">
        <v>5.8</v>
      </c>
      <c r="AD87" s="30">
        <v>3</v>
      </c>
      <c r="AE87" s="30">
        <v>5.0999999999999996</v>
      </c>
      <c r="AF87" s="30">
        <v>1.8</v>
      </c>
      <c r="AG87" s="30" t="s">
        <v>7</v>
      </c>
    </row>
    <row r="88" spans="1:33" x14ac:dyDescent="0.25">
      <c r="A88" s="8">
        <v>6.3</v>
      </c>
      <c r="B88" s="8">
        <v>3.3</v>
      </c>
      <c r="C88" s="8">
        <v>5</v>
      </c>
      <c r="D88" s="8">
        <v>1.8</v>
      </c>
      <c r="L88">
        <v>6</v>
      </c>
      <c r="T88">
        <v>3.1</v>
      </c>
      <c r="AA88" s="3">
        <v>4.5</v>
      </c>
      <c r="AC88" s="30">
        <v>6.2</v>
      </c>
      <c r="AD88" s="30">
        <v>2.8</v>
      </c>
      <c r="AE88" s="30">
        <v>4.8</v>
      </c>
      <c r="AF88" s="30">
        <v>1.8</v>
      </c>
      <c r="AG88" s="30" t="s">
        <v>7</v>
      </c>
    </row>
    <row r="89" spans="1:33" x14ac:dyDescent="0.25">
      <c r="A89" s="8">
        <v>6.4</v>
      </c>
      <c r="B89" s="8">
        <v>3.3</v>
      </c>
      <c r="C89" s="8">
        <v>5</v>
      </c>
      <c r="D89" s="8">
        <v>1.8</v>
      </c>
      <c r="L89" s="3">
        <v>6</v>
      </c>
      <c r="T89">
        <v>3.1</v>
      </c>
      <c r="AA89" s="3">
        <v>4.5999999999999996</v>
      </c>
      <c r="AC89" s="30">
        <v>5.0999999999999996</v>
      </c>
      <c r="AD89" s="30">
        <v>3.4</v>
      </c>
      <c r="AE89" s="30">
        <v>5.4</v>
      </c>
      <c r="AF89" s="30">
        <v>2.2999999999999998</v>
      </c>
      <c r="AG89" s="30" t="s">
        <v>7</v>
      </c>
    </row>
    <row r="90" spans="1:33" x14ac:dyDescent="0.25">
      <c r="A90" s="8">
        <v>6.4</v>
      </c>
      <c r="B90" s="8">
        <v>3.4</v>
      </c>
      <c r="C90" s="8">
        <v>5.0999999999999996</v>
      </c>
      <c r="D90" s="8">
        <v>1.8</v>
      </c>
      <c r="L90" s="3">
        <v>6</v>
      </c>
      <c r="T90" s="3">
        <v>3.1</v>
      </c>
      <c r="AA90" s="3">
        <v>4.5999999999999996</v>
      </c>
      <c r="AC90" s="30">
        <v>5</v>
      </c>
      <c r="AD90" s="30">
        <v>3</v>
      </c>
      <c r="AE90" s="30">
        <v>4.9000000000000004</v>
      </c>
      <c r="AF90" s="30">
        <v>1.8</v>
      </c>
      <c r="AG90" s="30" t="s">
        <v>7</v>
      </c>
    </row>
    <row r="91" spans="1:33" x14ac:dyDescent="0.25">
      <c r="A91" s="8">
        <v>6.4</v>
      </c>
      <c r="B91" s="8">
        <v>3.4</v>
      </c>
      <c r="C91" s="8">
        <v>5.0999999999999996</v>
      </c>
      <c r="D91" s="8">
        <v>1.8</v>
      </c>
      <c r="L91" s="3">
        <v>6.1</v>
      </c>
      <c r="T91" s="3">
        <v>3.1</v>
      </c>
      <c r="AA91" s="3">
        <v>4.5999999999999996</v>
      </c>
      <c r="AC91" s="30">
        <v>5.6</v>
      </c>
      <c r="AD91" s="30">
        <v>2.6</v>
      </c>
      <c r="AE91" s="30">
        <v>5.6</v>
      </c>
      <c r="AF91" s="30">
        <v>1.4</v>
      </c>
      <c r="AG91" s="30" t="s">
        <v>7</v>
      </c>
    </row>
    <row r="92" spans="1:33" x14ac:dyDescent="0.25">
      <c r="A92" s="5">
        <v>6.4</v>
      </c>
      <c r="B92" s="5">
        <v>3.4</v>
      </c>
      <c r="C92" s="5">
        <v>5.0999999999999996</v>
      </c>
      <c r="D92" s="5">
        <v>1.8</v>
      </c>
      <c r="L92" s="3">
        <v>6.1</v>
      </c>
      <c r="T92" s="3">
        <v>3.1</v>
      </c>
      <c r="AA92" s="3">
        <v>4.7</v>
      </c>
      <c r="AC92" s="30">
        <v>7.1</v>
      </c>
      <c r="AD92" s="30">
        <v>3.3</v>
      </c>
      <c r="AE92" s="30">
        <v>6</v>
      </c>
      <c r="AF92" s="30">
        <v>2.5</v>
      </c>
      <c r="AG92" s="30" t="s">
        <v>7</v>
      </c>
    </row>
    <row r="93" spans="1:33" x14ac:dyDescent="0.25">
      <c r="A93" s="5">
        <v>6.4</v>
      </c>
      <c r="B93" s="5">
        <v>3.4</v>
      </c>
      <c r="C93" s="5">
        <v>5.0999999999999996</v>
      </c>
      <c r="D93" s="5">
        <v>1.8</v>
      </c>
      <c r="L93" s="3">
        <v>6.1</v>
      </c>
      <c r="T93" s="3">
        <v>3.1</v>
      </c>
      <c r="AA93" s="3">
        <v>4.7</v>
      </c>
      <c r="AC93" s="30">
        <v>6.3</v>
      </c>
      <c r="AD93" s="30">
        <v>2.9</v>
      </c>
      <c r="AE93" s="30">
        <v>5.6</v>
      </c>
      <c r="AF93" s="30">
        <v>1.8</v>
      </c>
      <c r="AG93" s="30" t="s">
        <v>7</v>
      </c>
    </row>
    <row r="94" spans="1:33" x14ac:dyDescent="0.25">
      <c r="A94" s="5">
        <v>6.4</v>
      </c>
      <c r="B94" s="5">
        <v>3.4</v>
      </c>
      <c r="C94" s="5">
        <v>5.0999999999999996</v>
      </c>
      <c r="D94" s="5">
        <v>1.8</v>
      </c>
      <c r="L94">
        <v>6.1</v>
      </c>
      <c r="T94" s="3">
        <v>3.1</v>
      </c>
      <c r="AA94" s="3">
        <v>4.7</v>
      </c>
      <c r="AC94" s="30">
        <v>6.5</v>
      </c>
      <c r="AD94" s="30">
        <v>2.7</v>
      </c>
      <c r="AE94" s="30">
        <v>4.9000000000000004</v>
      </c>
      <c r="AF94" s="30">
        <v>1.8</v>
      </c>
      <c r="AG94" s="30" t="s">
        <v>7</v>
      </c>
    </row>
    <row r="95" spans="1:33" x14ac:dyDescent="0.25">
      <c r="A95" s="5">
        <v>6.4</v>
      </c>
      <c r="B95" s="5">
        <v>3.4</v>
      </c>
      <c r="C95" s="5">
        <v>5.0999999999999996</v>
      </c>
      <c r="D95" s="5">
        <v>1.9</v>
      </c>
      <c r="L95" s="3">
        <v>6.1</v>
      </c>
      <c r="T95" s="3">
        <v>3.1</v>
      </c>
      <c r="AA95" s="3">
        <v>4.7</v>
      </c>
      <c r="AC95" s="30">
        <v>7.6</v>
      </c>
      <c r="AD95" s="30">
        <v>2.8</v>
      </c>
      <c r="AE95" s="30">
        <v>5.0999999999999996</v>
      </c>
      <c r="AF95" s="30">
        <v>1.5</v>
      </c>
      <c r="AG95" s="30" t="s">
        <v>7</v>
      </c>
    </row>
    <row r="96" spans="1:33" x14ac:dyDescent="0.25">
      <c r="A96" s="5">
        <v>6.5</v>
      </c>
      <c r="B96" s="5">
        <v>3.4</v>
      </c>
      <c r="C96" s="5">
        <v>5.0999999999999996</v>
      </c>
      <c r="D96" s="5">
        <v>1.9</v>
      </c>
      <c r="L96" s="3">
        <v>6.1</v>
      </c>
      <c r="T96" s="3">
        <v>3.1</v>
      </c>
      <c r="AA96" s="3">
        <v>4.7</v>
      </c>
      <c r="AC96" s="30">
        <v>4.9000000000000004</v>
      </c>
      <c r="AD96" s="30">
        <v>3.4</v>
      </c>
      <c r="AE96" s="30">
        <v>5.6</v>
      </c>
      <c r="AF96" s="30">
        <v>2.4</v>
      </c>
      <c r="AG96" s="30" t="s">
        <v>7</v>
      </c>
    </row>
    <row r="97" spans="1:33" x14ac:dyDescent="0.25">
      <c r="A97" s="5">
        <v>6.5</v>
      </c>
      <c r="B97" s="5">
        <v>3.4</v>
      </c>
      <c r="C97" s="5">
        <v>5.0999999999999996</v>
      </c>
      <c r="D97" s="5">
        <v>1.9</v>
      </c>
      <c r="L97" s="3">
        <v>6.2</v>
      </c>
      <c r="T97" s="3">
        <v>3.2</v>
      </c>
      <c r="AA97" s="3">
        <v>4.8</v>
      </c>
      <c r="AC97" s="30">
        <v>7.3</v>
      </c>
      <c r="AD97" s="30">
        <v>2.5</v>
      </c>
      <c r="AE97" s="30">
        <v>5</v>
      </c>
      <c r="AF97" s="30">
        <v>1.9</v>
      </c>
      <c r="AG97" s="30" t="s">
        <v>7</v>
      </c>
    </row>
    <row r="98" spans="1:33" x14ac:dyDescent="0.25">
      <c r="A98" s="5">
        <v>6.5</v>
      </c>
      <c r="B98" s="5">
        <v>3.4</v>
      </c>
      <c r="C98" s="5">
        <v>5.2</v>
      </c>
      <c r="D98" s="5">
        <v>1.9</v>
      </c>
      <c r="L98" s="3">
        <v>6.2</v>
      </c>
      <c r="T98" s="3">
        <v>3.2</v>
      </c>
      <c r="AA98" s="3">
        <v>4.8</v>
      </c>
      <c r="AC98" s="30">
        <v>6.5</v>
      </c>
      <c r="AD98" s="30">
        <v>2.7</v>
      </c>
      <c r="AE98" s="30">
        <v>5.3</v>
      </c>
      <c r="AF98" s="30">
        <v>1.9</v>
      </c>
      <c r="AG98" s="30" t="s">
        <v>7</v>
      </c>
    </row>
    <row r="99" spans="1:33" x14ac:dyDescent="0.25">
      <c r="A99" s="5">
        <v>6.6</v>
      </c>
      <c r="B99" s="5">
        <v>3.4</v>
      </c>
      <c r="C99" s="5">
        <v>5.2</v>
      </c>
      <c r="D99" s="5">
        <v>2</v>
      </c>
      <c r="L99" s="3">
        <v>6.2</v>
      </c>
      <c r="T99">
        <v>3.2</v>
      </c>
      <c r="AA99" s="3">
        <v>4.8</v>
      </c>
      <c r="AC99" s="30">
        <v>6.4</v>
      </c>
      <c r="AD99" s="30">
        <v>3.2</v>
      </c>
      <c r="AE99" s="30">
        <v>5.3</v>
      </c>
      <c r="AF99" s="30">
        <v>2.2999999999999998</v>
      </c>
      <c r="AG99" s="30" t="s">
        <v>7</v>
      </c>
    </row>
    <row r="100" spans="1:33" x14ac:dyDescent="0.25">
      <c r="A100" s="5">
        <v>6.7</v>
      </c>
      <c r="B100" s="5">
        <v>3.5</v>
      </c>
      <c r="C100" s="5">
        <v>5.3</v>
      </c>
      <c r="D100" s="5">
        <v>2</v>
      </c>
      <c r="L100" s="3">
        <v>6.2</v>
      </c>
      <c r="T100">
        <v>3.2</v>
      </c>
      <c r="AA100" s="3">
        <v>4.8</v>
      </c>
      <c r="AC100" s="30">
        <v>6.8</v>
      </c>
      <c r="AD100" s="30">
        <v>2.8</v>
      </c>
      <c r="AE100" s="30">
        <v>5.6</v>
      </c>
      <c r="AF100" s="30">
        <v>2.1</v>
      </c>
      <c r="AG100" s="30" t="s">
        <v>7</v>
      </c>
    </row>
    <row r="101" spans="1:33" x14ac:dyDescent="0.25">
      <c r="A101" s="5">
        <v>6.7</v>
      </c>
      <c r="B101" s="5">
        <v>3.5</v>
      </c>
      <c r="C101" s="5">
        <v>5.3</v>
      </c>
      <c r="D101" s="5">
        <v>2</v>
      </c>
      <c r="L101" s="3">
        <v>6.3</v>
      </c>
      <c r="T101">
        <v>3.2</v>
      </c>
      <c r="AA101" s="3">
        <v>4.9000000000000004</v>
      </c>
      <c r="AC101" s="30">
        <v>5.7</v>
      </c>
      <c r="AD101" s="30">
        <v>2.8</v>
      </c>
      <c r="AE101" s="30">
        <v>5.6</v>
      </c>
      <c r="AF101" s="30">
        <v>2.2000000000000002</v>
      </c>
      <c r="AG101" s="30" t="s">
        <v>7</v>
      </c>
    </row>
    <row r="102" spans="1:33" x14ac:dyDescent="0.25">
      <c r="A102" s="5">
        <v>6.7</v>
      </c>
      <c r="B102" s="5">
        <v>3.5</v>
      </c>
      <c r="C102" s="5">
        <v>5.4</v>
      </c>
      <c r="D102" s="5">
        <v>2</v>
      </c>
      <c r="L102" s="3">
        <v>6.3</v>
      </c>
      <c r="T102" s="3">
        <v>3.2</v>
      </c>
      <c r="AA102" s="3">
        <v>4.9000000000000004</v>
      </c>
      <c r="AC102" s="30">
        <v>5.8</v>
      </c>
      <c r="AD102" s="30">
        <v>3.1</v>
      </c>
      <c r="AE102" s="30">
        <v>5.5</v>
      </c>
      <c r="AF102" s="30">
        <v>1.8</v>
      </c>
      <c r="AG102" s="30" t="s">
        <v>7</v>
      </c>
    </row>
    <row r="103" spans="1:33" x14ac:dyDescent="0.25">
      <c r="A103" s="5">
        <v>6.7</v>
      </c>
      <c r="B103" s="5">
        <v>3.5</v>
      </c>
      <c r="C103" s="5">
        <v>5.4</v>
      </c>
      <c r="D103" s="5">
        <v>2</v>
      </c>
      <c r="L103" s="3">
        <v>6.3</v>
      </c>
      <c r="T103" s="3">
        <v>3.2</v>
      </c>
      <c r="AA103" s="3">
        <v>4.9000000000000004</v>
      </c>
      <c r="AC103" s="30">
        <v>6.5</v>
      </c>
      <c r="AD103" s="30">
        <v>3</v>
      </c>
      <c r="AE103" s="30">
        <v>5.8</v>
      </c>
      <c r="AF103" s="30">
        <v>2.2000000000000002</v>
      </c>
      <c r="AG103" s="30" t="s">
        <v>7</v>
      </c>
    </row>
    <row r="104" spans="1:33" x14ac:dyDescent="0.25">
      <c r="A104" s="5">
        <v>6.7</v>
      </c>
      <c r="B104" s="5">
        <v>3.5</v>
      </c>
      <c r="C104" s="5">
        <v>5.5</v>
      </c>
      <c r="D104" s="5">
        <v>2.1</v>
      </c>
      <c r="L104" s="3">
        <v>6.3</v>
      </c>
      <c r="T104" s="3">
        <v>3.2</v>
      </c>
      <c r="AA104" s="3">
        <v>4.9000000000000004</v>
      </c>
      <c r="AC104" s="30">
        <v>7.7</v>
      </c>
      <c r="AD104" s="30">
        <v>3.2</v>
      </c>
      <c r="AE104" s="30">
        <v>5.0999999999999996</v>
      </c>
      <c r="AF104" s="30">
        <v>2</v>
      </c>
      <c r="AG104" s="30" t="s">
        <v>7</v>
      </c>
    </row>
    <row r="105" spans="1:33" x14ac:dyDescent="0.25">
      <c r="A105" s="5">
        <v>6.8</v>
      </c>
      <c r="B105" s="5">
        <v>3.5</v>
      </c>
      <c r="C105" s="5">
        <v>5.5</v>
      </c>
      <c r="D105" s="5">
        <v>2.1</v>
      </c>
      <c r="L105">
        <v>6.3</v>
      </c>
      <c r="T105" s="3">
        <v>3.2</v>
      </c>
      <c r="AA105" s="3">
        <v>4.9000000000000004</v>
      </c>
      <c r="AC105" s="30">
        <v>7.7</v>
      </c>
      <c r="AD105" s="30">
        <v>3</v>
      </c>
      <c r="AE105" s="30">
        <v>5.5</v>
      </c>
      <c r="AF105" s="30">
        <v>1.8</v>
      </c>
      <c r="AG105" s="30" t="s">
        <v>7</v>
      </c>
    </row>
    <row r="106" spans="1:33" x14ac:dyDescent="0.25">
      <c r="A106" s="5">
        <v>6.8</v>
      </c>
      <c r="B106" s="5">
        <v>3.6</v>
      </c>
      <c r="C106" s="5">
        <v>5.5</v>
      </c>
      <c r="D106" s="5">
        <v>2.1</v>
      </c>
      <c r="L106">
        <v>6.3</v>
      </c>
      <c r="T106">
        <v>3.2</v>
      </c>
      <c r="AA106" s="3">
        <v>5</v>
      </c>
      <c r="AC106" s="30">
        <v>6</v>
      </c>
      <c r="AD106" s="30">
        <v>3</v>
      </c>
      <c r="AE106" s="30">
        <v>5.2</v>
      </c>
      <c r="AF106" s="30">
        <v>2</v>
      </c>
      <c r="AG106" s="30" t="s">
        <v>7</v>
      </c>
    </row>
    <row r="107" spans="1:33" x14ac:dyDescent="0.25">
      <c r="A107" s="5">
        <v>6.9</v>
      </c>
      <c r="B107" s="5">
        <v>3.6</v>
      </c>
      <c r="C107" s="5">
        <v>5.6</v>
      </c>
      <c r="D107" s="5">
        <v>2.1</v>
      </c>
      <c r="L107" s="3">
        <v>6.3</v>
      </c>
      <c r="T107" s="3">
        <v>3.2</v>
      </c>
      <c r="AA107" s="3">
        <v>5</v>
      </c>
      <c r="AC107" s="30">
        <v>7.2</v>
      </c>
      <c r="AD107" s="30">
        <v>2.5</v>
      </c>
      <c r="AE107" s="30">
        <v>5.8</v>
      </c>
      <c r="AF107" s="30">
        <v>1.8</v>
      </c>
      <c r="AG107" s="30" t="s">
        <v>7</v>
      </c>
    </row>
    <row r="108" spans="1:33" x14ac:dyDescent="0.25">
      <c r="A108" s="5">
        <v>6.9</v>
      </c>
      <c r="B108" s="5">
        <v>3.7</v>
      </c>
      <c r="C108" s="5">
        <v>5.6</v>
      </c>
      <c r="D108" s="5">
        <v>2.2000000000000002</v>
      </c>
      <c r="L108" s="3">
        <v>6.3</v>
      </c>
      <c r="T108" s="3">
        <v>3.2</v>
      </c>
      <c r="AA108" s="3">
        <v>5</v>
      </c>
      <c r="AC108" s="30">
        <v>6.2</v>
      </c>
      <c r="AD108" s="30">
        <v>3.3</v>
      </c>
      <c r="AE108" s="30">
        <v>5.7</v>
      </c>
      <c r="AF108" s="30">
        <v>2.1</v>
      </c>
      <c r="AG108" s="30" t="s">
        <v>7</v>
      </c>
    </row>
    <row r="109" spans="1:33" x14ac:dyDescent="0.25">
      <c r="A109" s="5">
        <v>7</v>
      </c>
      <c r="B109" s="5">
        <v>3.7</v>
      </c>
      <c r="C109" s="5">
        <v>5.6</v>
      </c>
      <c r="D109" s="5">
        <v>2.2000000000000002</v>
      </c>
      <c r="L109" s="3">
        <v>6.3</v>
      </c>
      <c r="T109" s="3">
        <v>3.2</v>
      </c>
      <c r="AA109" s="3">
        <v>5</v>
      </c>
      <c r="AC109" s="30">
        <v>6.1</v>
      </c>
      <c r="AD109" s="30">
        <v>3.1</v>
      </c>
      <c r="AE109" s="30">
        <v>5.6</v>
      </c>
      <c r="AF109" s="30">
        <v>2.4</v>
      </c>
      <c r="AG109" s="30" t="s">
        <v>7</v>
      </c>
    </row>
    <row r="110" spans="1:33" x14ac:dyDescent="0.25">
      <c r="A110" s="5">
        <v>7.1</v>
      </c>
      <c r="B110" s="5">
        <v>3.7</v>
      </c>
      <c r="C110" s="5">
        <v>5.6</v>
      </c>
      <c r="D110" s="5">
        <v>2.2999999999999998</v>
      </c>
      <c r="L110" s="3">
        <v>6.4</v>
      </c>
      <c r="T110" s="3">
        <v>3.3</v>
      </c>
      <c r="AA110" s="3">
        <v>5.0999999999999996</v>
      </c>
      <c r="AC110" s="30">
        <v>6.4</v>
      </c>
      <c r="AD110" s="30">
        <v>3.3</v>
      </c>
      <c r="AE110" s="30">
        <v>5.7</v>
      </c>
      <c r="AF110" s="30">
        <v>2.5</v>
      </c>
      <c r="AG110" s="30" t="s">
        <v>7</v>
      </c>
    </row>
    <row r="111" spans="1:33" x14ac:dyDescent="0.25">
      <c r="A111" s="5">
        <v>7.2</v>
      </c>
      <c r="B111" s="5">
        <v>3.8</v>
      </c>
      <c r="C111" s="5">
        <v>5.6</v>
      </c>
      <c r="D111" s="5">
        <v>2.2999999999999998</v>
      </c>
      <c r="L111" s="3">
        <v>6.4</v>
      </c>
      <c r="T111" s="3">
        <v>3.3</v>
      </c>
      <c r="AA111" s="3">
        <v>5.0999999999999996</v>
      </c>
      <c r="AC111" s="30">
        <v>7.2</v>
      </c>
      <c r="AD111" s="30">
        <v>3</v>
      </c>
      <c r="AE111" s="30">
        <v>5.2</v>
      </c>
      <c r="AF111" s="30">
        <v>2.2999999999999998</v>
      </c>
      <c r="AG111" s="30" t="s">
        <v>7</v>
      </c>
    </row>
    <row r="112" spans="1:33" x14ac:dyDescent="0.25">
      <c r="A112" s="5">
        <v>7.2</v>
      </c>
      <c r="B112" s="5">
        <v>3.8</v>
      </c>
      <c r="C112" s="5">
        <v>5.6</v>
      </c>
      <c r="D112" s="5">
        <v>2.2999999999999998</v>
      </c>
      <c r="L112" s="3">
        <v>6.4</v>
      </c>
      <c r="T112" s="3">
        <v>3.3</v>
      </c>
      <c r="AA112" s="3">
        <v>5.0999999999999996</v>
      </c>
      <c r="AC112" s="30">
        <v>7.9</v>
      </c>
      <c r="AD112" s="30">
        <v>3</v>
      </c>
      <c r="AE112" s="30">
        <v>5.5</v>
      </c>
      <c r="AF112" s="30">
        <v>2.1</v>
      </c>
      <c r="AG112" s="30" t="s">
        <v>7</v>
      </c>
    </row>
    <row r="113" spans="1:33" x14ac:dyDescent="0.25">
      <c r="A113" s="5">
        <v>7.2</v>
      </c>
      <c r="B113" s="5">
        <v>3.8</v>
      </c>
      <c r="C113" s="5">
        <v>5.7</v>
      </c>
      <c r="D113" s="5">
        <v>2.2999999999999998</v>
      </c>
      <c r="L113" s="3">
        <v>6.4</v>
      </c>
      <c r="T113" s="3">
        <v>3.3</v>
      </c>
      <c r="AA113" s="3">
        <v>5.0999999999999996</v>
      </c>
      <c r="AC113" s="30">
        <v>6.4</v>
      </c>
      <c r="AD113" s="30">
        <v>3.2</v>
      </c>
      <c r="AE113" s="30">
        <v>5.9</v>
      </c>
      <c r="AF113" s="30">
        <v>2.2999999999999998</v>
      </c>
      <c r="AG113" s="30" t="s">
        <v>7</v>
      </c>
    </row>
    <row r="114" spans="1:33" x14ac:dyDescent="0.25">
      <c r="A114" s="5">
        <v>7.3</v>
      </c>
      <c r="B114" s="5">
        <v>3.8</v>
      </c>
      <c r="C114" s="5">
        <v>5.7</v>
      </c>
      <c r="D114" s="5">
        <v>2.2999999999999998</v>
      </c>
      <c r="L114" s="3">
        <v>6.4</v>
      </c>
      <c r="T114" s="3">
        <v>3.3</v>
      </c>
      <c r="AA114" s="3">
        <v>5.0999999999999996</v>
      </c>
      <c r="AC114" s="30">
        <v>6.1</v>
      </c>
      <c r="AD114" s="30">
        <v>3.2</v>
      </c>
      <c r="AE114" s="30">
        <v>5.7</v>
      </c>
      <c r="AF114" s="30">
        <v>2.2999999999999998</v>
      </c>
      <c r="AG114" s="30" t="s">
        <v>7</v>
      </c>
    </row>
    <row r="115" spans="1:33" x14ac:dyDescent="0.25">
      <c r="A115" s="5">
        <v>7.4</v>
      </c>
      <c r="B115" s="5">
        <v>3.8</v>
      </c>
      <c r="C115" s="5">
        <v>5.7</v>
      </c>
      <c r="D115" s="5">
        <v>2.2999999999999998</v>
      </c>
      <c r="L115" s="3">
        <v>6.4</v>
      </c>
      <c r="T115" s="3">
        <v>3.3</v>
      </c>
      <c r="AA115" s="3">
        <v>5.0999999999999996</v>
      </c>
      <c r="AC115" s="30">
        <v>7.7</v>
      </c>
      <c r="AD115" s="30">
        <v>3.1</v>
      </c>
      <c r="AE115" s="30">
        <v>5.4</v>
      </c>
      <c r="AF115" s="30">
        <v>2.1</v>
      </c>
      <c r="AG115" s="30" t="s">
        <v>7</v>
      </c>
    </row>
    <row r="116" spans="1:33" x14ac:dyDescent="0.25">
      <c r="A116" s="5">
        <v>7.6</v>
      </c>
      <c r="B116" s="5">
        <v>3.9</v>
      </c>
      <c r="C116" s="5">
        <v>5.8</v>
      </c>
      <c r="D116" s="5">
        <v>2.2999999999999998</v>
      </c>
      <c r="L116" s="3">
        <v>6.4</v>
      </c>
      <c r="T116" s="3">
        <v>3.4</v>
      </c>
      <c r="AA116" s="3">
        <v>5.0999999999999996</v>
      </c>
      <c r="AC116" s="30">
        <v>6.3</v>
      </c>
      <c r="AD116" s="30">
        <v>3.1</v>
      </c>
      <c r="AE116" s="30">
        <v>5.0999999999999996</v>
      </c>
      <c r="AF116" s="30">
        <v>2.2999999999999998</v>
      </c>
      <c r="AG116" s="30" t="s">
        <v>7</v>
      </c>
    </row>
    <row r="117" spans="1:33" x14ac:dyDescent="0.25">
      <c r="A117" s="5">
        <v>7.7</v>
      </c>
      <c r="B117" s="5">
        <v>3.9</v>
      </c>
      <c r="C117" s="5">
        <v>5.8</v>
      </c>
      <c r="D117" s="5">
        <v>2.4</v>
      </c>
      <c r="L117" s="3">
        <v>6.5</v>
      </c>
      <c r="T117" s="3">
        <v>3.4</v>
      </c>
      <c r="AA117" s="3">
        <v>5.0999999999999996</v>
      </c>
      <c r="AC117" s="30">
        <v>6.2</v>
      </c>
      <c r="AD117" s="30">
        <v>3</v>
      </c>
      <c r="AE117" s="30">
        <v>6.1</v>
      </c>
      <c r="AF117" s="30">
        <v>2.2999999999999998</v>
      </c>
      <c r="AG117" s="30" t="s">
        <v>7</v>
      </c>
    </row>
    <row r="118" spans="1:33" x14ac:dyDescent="0.25">
      <c r="A118" s="5">
        <v>7.7</v>
      </c>
      <c r="B118" s="5">
        <v>4</v>
      </c>
      <c r="C118" s="5">
        <v>5.9</v>
      </c>
      <c r="D118" s="5">
        <v>2.4</v>
      </c>
      <c r="L118" s="3">
        <v>6.5</v>
      </c>
      <c r="T118" s="3">
        <v>3.4</v>
      </c>
      <c r="AA118" s="3">
        <v>5.2</v>
      </c>
      <c r="AC118" s="30">
        <v>5.9</v>
      </c>
      <c r="AD118" s="30">
        <v>3.8</v>
      </c>
      <c r="AE118" s="30">
        <v>6.4</v>
      </c>
      <c r="AF118" s="30">
        <v>2</v>
      </c>
      <c r="AG118" s="30" t="s">
        <v>7</v>
      </c>
    </row>
    <row r="119" spans="1:33" x14ac:dyDescent="0.25">
      <c r="A119" s="5">
        <v>7.7</v>
      </c>
      <c r="B119" s="5">
        <v>4.0999999999999996</v>
      </c>
      <c r="C119" s="5">
        <v>6</v>
      </c>
      <c r="D119" s="5">
        <v>2.4</v>
      </c>
      <c r="L119" s="3">
        <v>6.5</v>
      </c>
      <c r="T119" s="3">
        <v>3.4</v>
      </c>
      <c r="AA119" s="3">
        <v>5.2</v>
      </c>
      <c r="AC119" s="30">
        <v>5.0999999999999996</v>
      </c>
      <c r="AD119" s="30">
        <v>2.5</v>
      </c>
      <c r="AE119" s="30">
        <v>4.5</v>
      </c>
      <c r="AF119" s="30">
        <v>1.7</v>
      </c>
      <c r="AG119" s="30" t="s">
        <v>7</v>
      </c>
    </row>
    <row r="120" spans="1:33" x14ac:dyDescent="0.25">
      <c r="A120" s="5">
        <v>7.7</v>
      </c>
      <c r="B120" s="5">
        <v>4.2</v>
      </c>
      <c r="C120" s="5">
        <v>6.1</v>
      </c>
      <c r="D120" s="5">
        <v>2.5</v>
      </c>
      <c r="L120">
        <v>6.5</v>
      </c>
      <c r="T120" s="3">
        <v>3.4</v>
      </c>
      <c r="AA120" s="3">
        <v>5.3</v>
      </c>
      <c r="AC120" s="30">
        <v>6.3</v>
      </c>
      <c r="AD120" s="30">
        <v>2.5</v>
      </c>
      <c r="AE120" s="30">
        <v>5</v>
      </c>
      <c r="AF120" s="30">
        <v>2</v>
      </c>
      <c r="AG120" s="30" t="s">
        <v>7</v>
      </c>
    </row>
    <row r="121" spans="1:33" x14ac:dyDescent="0.25">
      <c r="A121" s="5">
        <v>7.9</v>
      </c>
      <c r="B121" s="5">
        <v>4.4000000000000004</v>
      </c>
      <c r="C121" s="5">
        <v>6.4</v>
      </c>
      <c r="D121" s="5">
        <v>2.5</v>
      </c>
      <c r="L121">
        <v>6.5</v>
      </c>
      <c r="T121" s="3">
        <v>3.4</v>
      </c>
      <c r="AA121" s="3">
        <v>5.3</v>
      </c>
      <c r="AC121" s="30">
        <v>5.6</v>
      </c>
      <c r="AD121" s="30">
        <v>2.8</v>
      </c>
      <c r="AE121" s="30">
        <v>4.9000000000000004</v>
      </c>
      <c r="AF121" s="30">
        <v>2</v>
      </c>
      <c r="AG121" s="30" t="s">
        <v>7</v>
      </c>
    </row>
    <row r="122" spans="1:33" x14ac:dyDescent="0.25">
      <c r="L122">
        <v>6.6</v>
      </c>
      <c r="T122" s="3">
        <v>3.4</v>
      </c>
      <c r="AA122" s="3">
        <v>5.4</v>
      </c>
    </row>
    <row r="123" spans="1:33" x14ac:dyDescent="0.25">
      <c r="L123" s="3">
        <v>6.6</v>
      </c>
      <c r="T123">
        <v>3.4</v>
      </c>
      <c r="AA123" s="3">
        <v>5.4</v>
      </c>
    </row>
    <row r="124" spans="1:33" x14ac:dyDescent="0.25">
      <c r="L124" s="3">
        <v>6.7</v>
      </c>
      <c r="T124">
        <v>3.4</v>
      </c>
      <c r="AA124" s="3">
        <v>5.5</v>
      </c>
    </row>
    <row r="125" spans="1:33" x14ac:dyDescent="0.25">
      <c r="L125" s="3">
        <v>6.7</v>
      </c>
      <c r="T125" s="3">
        <v>3.4</v>
      </c>
      <c r="AA125" s="3">
        <v>5.5</v>
      </c>
    </row>
    <row r="126" spans="1:33" x14ac:dyDescent="0.25">
      <c r="L126">
        <v>6.7</v>
      </c>
      <c r="T126" s="3">
        <v>3.4</v>
      </c>
      <c r="AA126" s="3">
        <v>5.5</v>
      </c>
    </row>
    <row r="127" spans="1:33" x14ac:dyDescent="0.25">
      <c r="L127">
        <v>6.7</v>
      </c>
      <c r="T127" s="3">
        <v>3.4</v>
      </c>
      <c r="AA127" s="3">
        <v>5.6</v>
      </c>
    </row>
    <row r="128" spans="1:33" x14ac:dyDescent="0.25">
      <c r="L128">
        <v>6.7</v>
      </c>
      <c r="T128" s="3">
        <v>3.5</v>
      </c>
      <c r="AA128" s="3">
        <v>5.6</v>
      </c>
    </row>
    <row r="129" spans="12:27" x14ac:dyDescent="0.25">
      <c r="L129" s="3">
        <v>6.7</v>
      </c>
      <c r="T129" s="3">
        <v>3.5</v>
      </c>
      <c r="AA129" s="3">
        <v>5.6</v>
      </c>
    </row>
    <row r="130" spans="12:27" x14ac:dyDescent="0.25">
      <c r="L130" s="3">
        <v>6.7</v>
      </c>
      <c r="T130" s="3">
        <v>3.5</v>
      </c>
      <c r="AA130" s="3">
        <v>5.6</v>
      </c>
    </row>
    <row r="131" spans="12:27" x14ac:dyDescent="0.25">
      <c r="L131" s="3">
        <v>6.7</v>
      </c>
      <c r="T131" s="3">
        <v>3.5</v>
      </c>
      <c r="AA131" s="3">
        <v>5.6</v>
      </c>
    </row>
    <row r="132" spans="12:27" x14ac:dyDescent="0.25">
      <c r="L132" s="3">
        <v>6.8</v>
      </c>
      <c r="T132" s="3">
        <v>3.5</v>
      </c>
      <c r="AA132" s="3">
        <v>5.6</v>
      </c>
    </row>
    <row r="133" spans="12:27" x14ac:dyDescent="0.25">
      <c r="L133">
        <v>6.8</v>
      </c>
      <c r="T133" s="3">
        <v>3.5</v>
      </c>
      <c r="AA133" s="3">
        <v>5.7</v>
      </c>
    </row>
    <row r="134" spans="12:27" x14ac:dyDescent="0.25">
      <c r="L134" s="3">
        <v>6.8</v>
      </c>
      <c r="T134" s="3">
        <v>3.6</v>
      </c>
      <c r="AA134" s="3">
        <v>5.7</v>
      </c>
    </row>
    <row r="135" spans="12:27" x14ac:dyDescent="0.25">
      <c r="L135" s="3">
        <v>6.9</v>
      </c>
      <c r="T135" s="3">
        <v>3.6</v>
      </c>
      <c r="AA135" s="3">
        <v>5.7</v>
      </c>
    </row>
    <row r="136" spans="12:27" x14ac:dyDescent="0.25">
      <c r="L136">
        <v>6.9</v>
      </c>
      <c r="T136">
        <v>3.6</v>
      </c>
      <c r="AA136" s="3">
        <v>5.8</v>
      </c>
    </row>
    <row r="137" spans="12:27" x14ac:dyDescent="0.25">
      <c r="L137">
        <v>6.9</v>
      </c>
      <c r="T137" s="3">
        <v>3.7</v>
      </c>
      <c r="AA137" s="3">
        <v>5.8</v>
      </c>
    </row>
    <row r="138" spans="12:27" x14ac:dyDescent="0.25">
      <c r="L138" s="3">
        <v>6.9</v>
      </c>
      <c r="T138" s="3">
        <v>3.7</v>
      </c>
      <c r="AA138">
        <v>5.8</v>
      </c>
    </row>
    <row r="139" spans="12:27" x14ac:dyDescent="0.25">
      <c r="L139" s="3">
        <v>7</v>
      </c>
      <c r="T139" s="3">
        <v>3.7</v>
      </c>
      <c r="AA139" s="3">
        <v>5.9</v>
      </c>
    </row>
    <row r="140" spans="12:27" x14ac:dyDescent="0.25">
      <c r="L140" s="3">
        <v>7.1</v>
      </c>
      <c r="T140" s="3">
        <v>3.8</v>
      </c>
      <c r="AA140">
        <v>5.9</v>
      </c>
    </row>
    <row r="141" spans="12:27" x14ac:dyDescent="0.25">
      <c r="L141" s="3">
        <v>7.2</v>
      </c>
      <c r="T141" s="3">
        <v>3.8</v>
      </c>
      <c r="AA141" s="3">
        <v>6</v>
      </c>
    </row>
    <row r="142" spans="12:27" x14ac:dyDescent="0.25">
      <c r="L142" s="3">
        <v>7.2</v>
      </c>
      <c r="T142" s="3">
        <v>3.8</v>
      </c>
      <c r="AA142">
        <v>6</v>
      </c>
    </row>
    <row r="143" spans="12:27" x14ac:dyDescent="0.25">
      <c r="L143" s="3">
        <v>7.2</v>
      </c>
      <c r="T143" s="3">
        <v>3.8</v>
      </c>
      <c r="AA143" s="3">
        <v>6.1</v>
      </c>
    </row>
    <row r="144" spans="12:27" x14ac:dyDescent="0.25">
      <c r="L144" s="3">
        <v>7.3</v>
      </c>
      <c r="T144" s="3">
        <v>3.8</v>
      </c>
      <c r="AA144">
        <v>6.1</v>
      </c>
    </row>
    <row r="145" spans="12:27" x14ac:dyDescent="0.25">
      <c r="L145" s="3">
        <v>7.4</v>
      </c>
      <c r="T145">
        <v>3.8</v>
      </c>
      <c r="AA145">
        <v>6.1</v>
      </c>
    </row>
    <row r="146" spans="12:27" x14ac:dyDescent="0.25">
      <c r="L146" s="3">
        <v>7.6</v>
      </c>
      <c r="T146" s="3">
        <v>3.9</v>
      </c>
      <c r="AA146">
        <v>6.3</v>
      </c>
    </row>
    <row r="147" spans="12:27" x14ac:dyDescent="0.25">
      <c r="L147" s="3">
        <v>7.7</v>
      </c>
      <c r="T147" s="3">
        <v>3.9</v>
      </c>
      <c r="AA147" s="3">
        <v>6.4</v>
      </c>
    </row>
    <row r="148" spans="12:27" x14ac:dyDescent="0.25">
      <c r="L148" s="3">
        <v>7.7</v>
      </c>
      <c r="T148" s="3">
        <v>4</v>
      </c>
      <c r="AA148">
        <v>6.6</v>
      </c>
    </row>
    <row r="149" spans="12:27" x14ac:dyDescent="0.25">
      <c r="L149" s="3">
        <v>7.7</v>
      </c>
      <c r="T149" s="3">
        <v>4.0999999999999996</v>
      </c>
      <c r="AA149">
        <v>6.7</v>
      </c>
    </row>
    <row r="150" spans="12:27" x14ac:dyDescent="0.25">
      <c r="L150" s="3">
        <v>7.7</v>
      </c>
      <c r="T150" s="3">
        <v>4.2</v>
      </c>
      <c r="AA150">
        <v>6.7</v>
      </c>
    </row>
    <row r="151" spans="12:27" x14ac:dyDescent="0.25">
      <c r="L151" s="3">
        <v>7.9</v>
      </c>
      <c r="T151" s="3">
        <v>4.4000000000000004</v>
      </c>
      <c r="AA151">
        <v>6.9</v>
      </c>
    </row>
  </sheetData>
  <sortState ref="AA2:AA151">
    <sortCondition ref="AA1"/>
  </sortState>
  <mergeCells count="4">
    <mergeCell ref="AI2:AL2"/>
    <mergeCell ref="AN2:AQ2"/>
    <mergeCell ref="AS2:AV2"/>
    <mergeCell ref="AX2:BA2"/>
  </mergeCells>
  <pageMargins left="0.7" right="0.7" top="0.75" bottom="0.75" header="0.3" footer="0.3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21"/>
  <sheetViews>
    <sheetView topLeftCell="A91" workbookViewId="0">
      <selection activeCell="H8" sqref="H8"/>
    </sheetView>
  </sheetViews>
  <sheetFormatPr defaultRowHeight="15" x14ac:dyDescent="0.25"/>
  <cols>
    <col min="1" max="5" width="9.140625" style="3"/>
  </cols>
  <sheetData>
    <row r="1" spans="1:2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29" x14ac:dyDescent="0.25">
      <c r="A2">
        <v>5.0999999999999996</v>
      </c>
      <c r="B2">
        <v>3</v>
      </c>
      <c r="C2">
        <v>1.1000000000000001</v>
      </c>
      <c r="D2">
        <v>0.1</v>
      </c>
      <c r="E2" t="s">
        <v>5</v>
      </c>
      <c r="H2" s="27" t="s">
        <v>36</v>
      </c>
      <c r="I2" s="27"/>
      <c r="J2" s="27"/>
      <c r="K2" s="27"/>
      <c r="N2" s="27" t="s">
        <v>38</v>
      </c>
      <c r="O2" s="27"/>
      <c r="P2" s="27"/>
      <c r="Q2" s="27"/>
      <c r="T2" s="27" t="s">
        <v>39</v>
      </c>
      <c r="U2" s="27"/>
      <c r="V2" s="27"/>
      <c r="W2" s="27"/>
      <c r="Z2" s="27" t="s">
        <v>40</v>
      </c>
      <c r="AA2" s="27"/>
      <c r="AB2" s="27"/>
      <c r="AC2" s="27"/>
    </row>
    <row r="3" spans="1:29" x14ac:dyDescent="0.25">
      <c r="A3">
        <v>4.9000000000000004</v>
      </c>
      <c r="B3">
        <v>2.9</v>
      </c>
      <c r="C3">
        <v>1.4</v>
      </c>
      <c r="D3">
        <v>0.2</v>
      </c>
      <c r="E3" t="s">
        <v>5</v>
      </c>
      <c r="I3" s="3" t="s">
        <v>5</v>
      </c>
      <c r="J3" s="3" t="s">
        <v>7</v>
      </c>
      <c r="K3" t="s">
        <v>6</v>
      </c>
      <c r="O3" s="3" t="s">
        <v>5</v>
      </c>
      <c r="P3" s="3" t="s">
        <v>7</v>
      </c>
      <c r="Q3" t="s">
        <v>6</v>
      </c>
      <c r="U3" s="3" t="s">
        <v>5</v>
      </c>
      <c r="V3" s="3" t="s">
        <v>7</v>
      </c>
      <c r="W3" t="s">
        <v>6</v>
      </c>
      <c r="AA3" s="3" t="s">
        <v>5</v>
      </c>
      <c r="AB3" s="3" t="s">
        <v>7</v>
      </c>
      <c r="AC3" t="s">
        <v>6</v>
      </c>
    </row>
    <row r="4" spans="1:29" x14ac:dyDescent="0.25">
      <c r="A4">
        <v>4.7</v>
      </c>
      <c r="B4">
        <v>3</v>
      </c>
      <c r="C4">
        <v>1.3</v>
      </c>
      <c r="D4">
        <v>0.2</v>
      </c>
      <c r="E4" t="s">
        <v>5</v>
      </c>
      <c r="H4" t="s">
        <v>46</v>
      </c>
      <c r="I4">
        <v>40</v>
      </c>
      <c r="J4">
        <v>40</v>
      </c>
      <c r="K4">
        <v>40</v>
      </c>
      <c r="N4" t="s">
        <v>46</v>
      </c>
      <c r="O4">
        <v>40</v>
      </c>
      <c r="P4">
        <v>40</v>
      </c>
      <c r="Q4">
        <v>40</v>
      </c>
      <c r="T4" t="s">
        <v>46</v>
      </c>
      <c r="U4">
        <v>40</v>
      </c>
      <c r="V4">
        <v>40</v>
      </c>
      <c r="W4">
        <v>40</v>
      </c>
      <c r="Z4" t="s">
        <v>46</v>
      </c>
      <c r="AA4">
        <v>50</v>
      </c>
      <c r="AB4">
        <v>50</v>
      </c>
      <c r="AC4">
        <v>50</v>
      </c>
    </row>
    <row r="5" spans="1:29" x14ac:dyDescent="0.25">
      <c r="A5">
        <v>4.5999999999999996</v>
      </c>
      <c r="B5">
        <v>3.2</v>
      </c>
      <c r="C5">
        <v>1.3</v>
      </c>
      <c r="D5">
        <v>0.2</v>
      </c>
      <c r="E5" t="s">
        <v>5</v>
      </c>
      <c r="H5" t="s">
        <v>33</v>
      </c>
      <c r="I5">
        <f>AVERAGE(A2:A51)</f>
        <v>5.22</v>
      </c>
      <c r="J5">
        <f>AVERAGE(A52:A101)</f>
        <v>6.169999999999999</v>
      </c>
      <c r="K5">
        <f>AVERAGE(A102:A151)</f>
        <v>6.6450000000000014</v>
      </c>
      <c r="N5" t="s">
        <v>33</v>
      </c>
      <c r="O5">
        <f>AVERAGE(B2:B51)</f>
        <v>3.2780000000000005</v>
      </c>
      <c r="P5">
        <f>AVERAGE(B52:B101)</f>
        <v>2.8760000000000003</v>
      </c>
      <c r="Q5">
        <f>AVERAGE(B102:B151)</f>
        <v>3.0900000000000007</v>
      </c>
      <c r="T5" t="s">
        <v>33</v>
      </c>
      <c r="U5">
        <f>AVERAGE(C2:C51)</f>
        <v>2.0000000000000004</v>
      </c>
      <c r="V5">
        <f>AVERAGE(C52:C101)</f>
        <v>4.7959999999999994</v>
      </c>
      <c r="W5">
        <f>AVERAGE(C102:C151)</f>
        <v>5.2800000000000011</v>
      </c>
      <c r="Z5" t="s">
        <v>33</v>
      </c>
      <c r="AA5">
        <f>AVERAGE(D2:D51)</f>
        <v>0.48599999999999993</v>
      </c>
      <c r="AB5">
        <f>AVERAGE(D52:D101)</f>
        <v>1.6559999999999995</v>
      </c>
      <c r="AC5">
        <f>AVERAGE(D102:D151)</f>
        <v>1.905</v>
      </c>
    </row>
    <row r="6" spans="1:29" x14ac:dyDescent="0.25">
      <c r="A6">
        <v>5</v>
      </c>
      <c r="B6">
        <v>2.2999999999999998</v>
      </c>
      <c r="C6">
        <v>1.3</v>
      </c>
      <c r="D6">
        <v>0.3</v>
      </c>
      <c r="E6" t="s">
        <v>5</v>
      </c>
      <c r="H6" t="s">
        <v>47</v>
      </c>
      <c r="N6" t="s">
        <v>47</v>
      </c>
      <c r="T6" t="s">
        <v>47</v>
      </c>
      <c r="Z6" t="s">
        <v>47</v>
      </c>
    </row>
    <row r="7" spans="1:29" x14ac:dyDescent="0.25">
      <c r="A7" s="5">
        <v>5.4</v>
      </c>
      <c r="B7" s="5">
        <v>3.1</v>
      </c>
      <c r="C7" s="5">
        <v>1.5</v>
      </c>
      <c r="D7" s="5">
        <v>0.2</v>
      </c>
      <c r="E7" s="5" t="s">
        <v>5</v>
      </c>
      <c r="H7" t="s">
        <v>45</v>
      </c>
      <c r="I7">
        <f>_xlfn.QUARTILE.INC(A2:A51,0)</f>
        <v>4.4000000000000004</v>
      </c>
      <c r="J7">
        <f>MIN(A52:A101)</f>
        <v>4.9000000000000004</v>
      </c>
      <c r="K7">
        <f>MIN(A102:A151)</f>
        <v>5.6</v>
      </c>
      <c r="N7" t="s">
        <v>45</v>
      </c>
      <c r="O7">
        <f>_xlfn.QUARTILE.INC(B2:B51,0)</f>
        <v>2</v>
      </c>
      <c r="P7">
        <f>MIN(B52:B101)</f>
        <v>2.2000000000000002</v>
      </c>
      <c r="Q7">
        <f>MIN(B102:B151)</f>
        <v>2.5</v>
      </c>
      <c r="T7" t="s">
        <v>45</v>
      </c>
      <c r="U7">
        <f>_xlfn.QUARTILE.INC(C2:C51,0)</f>
        <v>1</v>
      </c>
      <c r="V7">
        <f>MIN(C52:C101)</f>
        <v>1.2</v>
      </c>
      <c r="W7">
        <f>MIN(C102:C151)</f>
        <v>4.4000000000000004</v>
      </c>
      <c r="Z7" t="s">
        <v>45</v>
      </c>
      <c r="AA7">
        <f>_xlfn.QUARTILE.INC(D2:D51,0)</f>
        <v>0.1</v>
      </c>
      <c r="AB7">
        <f>MIN(D52:D101)</f>
        <v>0.2</v>
      </c>
      <c r="AC7">
        <f>MIN(D102:D151)</f>
        <v>1.3</v>
      </c>
    </row>
    <row r="8" spans="1:29" x14ac:dyDescent="0.25">
      <c r="A8">
        <v>4.5999999999999996</v>
      </c>
      <c r="B8">
        <v>3.4</v>
      </c>
      <c r="C8">
        <v>1.4</v>
      </c>
      <c r="D8">
        <v>0.3</v>
      </c>
      <c r="E8" t="s">
        <v>5</v>
      </c>
      <c r="I8">
        <f>_xlfn.QUARTILE.INC(A2:A51,1)</f>
        <v>4.9000000000000004</v>
      </c>
      <c r="J8">
        <f>_xlfn.QUARTILE.INC(A52:A101,1)</f>
        <v>5.7</v>
      </c>
      <c r="K8">
        <f>_xlfn.QUARTILE.INC(A102:A151,1)</f>
        <v>6.2</v>
      </c>
      <c r="O8">
        <f>_xlfn.QUARTILE.INC(B2:B51,1)</f>
        <v>3</v>
      </c>
      <c r="P8">
        <f>_xlfn.QUARTILE.INC(B52:B101,1)</f>
        <v>2.7</v>
      </c>
      <c r="Q8">
        <f>_xlfn.QUARTILE.INC(B102:B151,1)</f>
        <v>3</v>
      </c>
      <c r="U8">
        <f>_xlfn.QUARTILE.INC(C2:C51,1)</f>
        <v>1.4</v>
      </c>
      <c r="V8">
        <f>_xlfn.QUARTILE.INC(C52:C101,1)</f>
        <v>4.5</v>
      </c>
      <c r="W8">
        <f>_xlfn.QUARTILE.INC(C102:C151,1)</f>
        <v>4.7750000000000004</v>
      </c>
      <c r="AA8">
        <f>_xlfn.QUARTILE.INC(D2:D51,1)</f>
        <v>0.2</v>
      </c>
      <c r="AB8">
        <f>_xlfn.QUARTILE.INC(D52:D101,1)</f>
        <v>1.4</v>
      </c>
      <c r="AC8">
        <f>_xlfn.QUARTILE.INC(D102:D151,1)</f>
        <v>1.4750000000000001</v>
      </c>
    </row>
    <row r="9" spans="1:29" x14ac:dyDescent="0.25">
      <c r="A9">
        <v>5</v>
      </c>
      <c r="B9">
        <v>3.6</v>
      </c>
      <c r="C9">
        <v>1</v>
      </c>
      <c r="D9">
        <v>0.2</v>
      </c>
      <c r="E9" t="s">
        <v>5</v>
      </c>
      <c r="H9" t="s">
        <v>41</v>
      </c>
      <c r="I9">
        <f>_xlfn.QUARTILE.INC(A2:A51,2)</f>
        <v>5.0999999999999996</v>
      </c>
      <c r="J9">
        <f>_xlfn.QUARTILE.INC(A52:A101,2)</f>
        <v>6.1</v>
      </c>
      <c r="K9">
        <f>_xlfn.QUARTILE.INC(A102:A151,2)</f>
        <v>6.4</v>
      </c>
      <c r="N9" t="s">
        <v>41</v>
      </c>
      <c r="O9">
        <f>_xlfn.QUARTILE.INC(B2:B51,2)</f>
        <v>3.4</v>
      </c>
      <c r="P9">
        <f>_xlfn.QUARTILE.INC(B52:B101,2)</f>
        <v>2.8499999999999996</v>
      </c>
      <c r="Q9">
        <f>_xlfn.QUARTILE.INC(B102:B151,2)</f>
        <v>3.1</v>
      </c>
      <c r="T9" t="s">
        <v>41</v>
      </c>
      <c r="U9">
        <f>_xlfn.QUARTILE.INC(C2:C51,2)</f>
        <v>1.5</v>
      </c>
      <c r="V9">
        <f>_xlfn.QUARTILE.INC(C52:C101,2)</f>
        <v>4.9000000000000004</v>
      </c>
      <c r="W9">
        <f>_xlfn.QUARTILE.INC(C102:C151,2)</f>
        <v>5.3000000000000007</v>
      </c>
      <c r="Z9" t="s">
        <v>41</v>
      </c>
      <c r="AA9">
        <f>_xlfn.QUARTILE.INC(D2:D51,2)</f>
        <v>0.3</v>
      </c>
      <c r="AB9">
        <f>_xlfn.QUARTILE.INC(D52:D101,2)</f>
        <v>1.6</v>
      </c>
      <c r="AC9">
        <f>_xlfn.QUARTILE.INC(D102:D151,2)</f>
        <v>2.0499999999999998</v>
      </c>
    </row>
    <row r="10" spans="1:29" x14ac:dyDescent="0.25">
      <c r="A10" s="5">
        <v>5.7</v>
      </c>
      <c r="B10" s="5">
        <v>3.1</v>
      </c>
      <c r="C10" s="5">
        <v>1.5</v>
      </c>
      <c r="D10" s="5">
        <v>0.1</v>
      </c>
      <c r="E10" s="5" t="s">
        <v>5</v>
      </c>
      <c r="H10" t="s">
        <v>32</v>
      </c>
      <c r="I10">
        <f>_xlfn.QUARTILE.INC(A2:A51,3)</f>
        <v>5.4749999999999996</v>
      </c>
      <c r="J10">
        <f>_xlfn.QUARTILE.INC(A52:A101,3)</f>
        <v>6.5</v>
      </c>
      <c r="K10">
        <f>_xlfn.QUARTILE.INC(A102:A151,3)</f>
        <v>7.2</v>
      </c>
      <c r="N10" t="s">
        <v>32</v>
      </c>
      <c r="O10">
        <f>_xlfn.QUARTILE.INC(B2:B51,3)</f>
        <v>3.6</v>
      </c>
      <c r="P10">
        <f>_xlfn.QUARTILE.INC(B52:B101,3)</f>
        <v>3</v>
      </c>
      <c r="Q10">
        <f>_xlfn.QUARTILE.INC(B102:B151,3)</f>
        <v>3.2</v>
      </c>
      <c r="T10" t="s">
        <v>32</v>
      </c>
      <c r="U10">
        <f>_xlfn.QUARTILE.INC(C2:C51,3)</f>
        <v>1.7</v>
      </c>
      <c r="V10">
        <f>_xlfn.QUARTILE.INC(C52:C101,3)</f>
        <v>5.1749999999999998</v>
      </c>
      <c r="W10">
        <f>_xlfn.QUARTILE.INC(C102:C151,3)</f>
        <v>5.7</v>
      </c>
      <c r="Z10" t="s">
        <v>32</v>
      </c>
      <c r="AA10">
        <f>_xlfn.QUARTILE.INC(D2:D51,3)</f>
        <v>0.47499999999999998</v>
      </c>
      <c r="AB10">
        <f>_xlfn.QUARTILE.INC(D52:D101,3)</f>
        <v>1.9</v>
      </c>
      <c r="AC10">
        <f>_xlfn.QUARTILE.INC(D102:D151,3)</f>
        <v>2.2999999999999998</v>
      </c>
    </row>
    <row r="11" spans="1:29" x14ac:dyDescent="0.25">
      <c r="A11">
        <v>5.0999999999999996</v>
      </c>
      <c r="B11">
        <v>3.1</v>
      </c>
      <c r="C11">
        <v>1.5</v>
      </c>
      <c r="D11">
        <v>0.1</v>
      </c>
      <c r="E11" t="s">
        <v>5</v>
      </c>
      <c r="H11" t="s">
        <v>42</v>
      </c>
      <c r="I11">
        <f>_xlfn.QUARTILE.INC(A2:A51,4)</f>
        <v>7</v>
      </c>
      <c r="J11">
        <f>_xlfn.QUARTILE.INC(A52:A101,4)</f>
        <v>7.7</v>
      </c>
      <c r="K11">
        <f>_xlfn.QUARTILE.INC(A102:A151,4)</f>
        <v>7.9</v>
      </c>
      <c r="N11" t="s">
        <v>42</v>
      </c>
      <c r="O11">
        <f>_xlfn.QUARTILE.INC(B2:B51,4)</f>
        <v>4.4000000000000004</v>
      </c>
      <c r="P11">
        <f>_xlfn.QUARTILE.INC(B52:B101,4)</f>
        <v>4</v>
      </c>
      <c r="Q11">
        <f>_xlfn.QUARTILE.INC(B102:B151,4)</f>
        <v>3.8</v>
      </c>
      <c r="T11" t="s">
        <v>42</v>
      </c>
      <c r="U11">
        <f>_xlfn.QUARTILE.INC(C2:C51,4)</f>
        <v>4.9000000000000004</v>
      </c>
      <c r="V11">
        <f>_xlfn.QUARTILE.INC(C52:C101,4)</f>
        <v>6</v>
      </c>
      <c r="W11">
        <f>_xlfn.QUARTILE.INC(C102:C151,4)</f>
        <v>6.4</v>
      </c>
      <c r="Z11" t="s">
        <v>42</v>
      </c>
      <c r="AA11">
        <f>_xlfn.QUARTILE.INC(D2:D51,4)</f>
        <v>2</v>
      </c>
      <c r="AB11">
        <f>_xlfn.QUARTILE.INC(D52:D101,4)</f>
        <v>2.5</v>
      </c>
      <c r="AC11">
        <f>_xlfn.QUARTILE.INC(D102:D151,4)</f>
        <v>2.5</v>
      </c>
    </row>
    <row r="12" spans="1:29" x14ac:dyDescent="0.25">
      <c r="A12">
        <v>5.4</v>
      </c>
      <c r="B12">
        <v>2.4</v>
      </c>
      <c r="C12">
        <v>3.3</v>
      </c>
      <c r="D12">
        <v>1</v>
      </c>
      <c r="E12" t="s">
        <v>6</v>
      </c>
      <c r="H12" t="s">
        <v>31</v>
      </c>
      <c r="N12" t="s">
        <v>31</v>
      </c>
      <c r="T12" t="s">
        <v>31</v>
      </c>
      <c r="Z12" t="s">
        <v>31</v>
      </c>
    </row>
    <row r="13" spans="1:29" x14ac:dyDescent="0.25">
      <c r="A13" s="5">
        <v>5.0999999999999996</v>
      </c>
      <c r="B13" s="5">
        <v>2.5</v>
      </c>
      <c r="C13" s="5">
        <v>4.5</v>
      </c>
      <c r="D13" s="5">
        <v>1.7</v>
      </c>
      <c r="E13" s="5" t="s">
        <v>7</v>
      </c>
      <c r="H13" t="s">
        <v>52</v>
      </c>
      <c r="I13">
        <f>I9-I8</f>
        <v>0.19999999999999929</v>
      </c>
      <c r="J13">
        <f>J9-J8</f>
        <v>0.39999999999999947</v>
      </c>
      <c r="K13">
        <f t="shared" ref="K13" si="0">K9-K8</f>
        <v>0.20000000000000018</v>
      </c>
      <c r="N13" t="s">
        <v>52</v>
      </c>
      <c r="O13">
        <f>O9-O8</f>
        <v>0.39999999999999991</v>
      </c>
      <c r="P13">
        <f>P9-P8</f>
        <v>0.14999999999999947</v>
      </c>
      <c r="Q13">
        <f t="shared" ref="Q13" si="1">Q9-Q8</f>
        <v>0.10000000000000009</v>
      </c>
      <c r="T13" t="s">
        <v>52</v>
      </c>
      <c r="U13">
        <f>U9-U8</f>
        <v>0.10000000000000009</v>
      </c>
      <c r="V13">
        <f>V9-V8</f>
        <v>0.40000000000000036</v>
      </c>
      <c r="W13">
        <f t="shared" ref="W13" si="2">W9-W8</f>
        <v>0.52500000000000036</v>
      </c>
      <c r="Z13" t="s">
        <v>52</v>
      </c>
      <c r="AA13">
        <f>AA9-AA8</f>
        <v>9.9999999999999978E-2</v>
      </c>
      <c r="AB13">
        <f>AB9-AB8</f>
        <v>0.20000000000000018</v>
      </c>
      <c r="AC13">
        <f t="shared" ref="AC13" si="3">AC9-AC8</f>
        <v>0.57499999999999973</v>
      </c>
    </row>
    <row r="14" spans="1:29" x14ac:dyDescent="0.25">
      <c r="A14">
        <v>4.5999999999999996</v>
      </c>
      <c r="B14">
        <v>3.6</v>
      </c>
      <c r="C14">
        <v>1.4</v>
      </c>
      <c r="D14">
        <v>0.2</v>
      </c>
      <c r="E14" t="s">
        <v>5</v>
      </c>
      <c r="H14" t="s">
        <v>53</v>
      </c>
      <c r="I14">
        <f>I10-I9</f>
        <v>0.375</v>
      </c>
      <c r="J14">
        <f t="shared" ref="J14:K14" si="4">J10-J9</f>
        <v>0.40000000000000036</v>
      </c>
      <c r="K14">
        <f t="shared" si="4"/>
        <v>0.79999999999999982</v>
      </c>
      <c r="N14" t="s">
        <v>53</v>
      </c>
      <c r="O14">
        <f>O10-O9</f>
        <v>0.20000000000000018</v>
      </c>
      <c r="P14">
        <f t="shared" ref="P14:Q14" si="5">P10-P9</f>
        <v>0.15000000000000036</v>
      </c>
      <c r="Q14">
        <f t="shared" si="5"/>
        <v>0.10000000000000009</v>
      </c>
      <c r="T14" t="s">
        <v>53</v>
      </c>
      <c r="U14">
        <f>U10-U9</f>
        <v>0.19999999999999996</v>
      </c>
      <c r="V14">
        <f t="shared" ref="V14:W14" si="6">V10-V9</f>
        <v>0.27499999999999947</v>
      </c>
      <c r="W14">
        <f t="shared" si="6"/>
        <v>0.39999999999999947</v>
      </c>
      <c r="Z14" t="s">
        <v>53</v>
      </c>
      <c r="AA14">
        <f>AA10-AA9</f>
        <v>0.17499999999999999</v>
      </c>
      <c r="AB14">
        <f t="shared" ref="AB14:AC14" si="7">AB10-AB9</f>
        <v>0.29999999999999982</v>
      </c>
      <c r="AC14">
        <f t="shared" si="7"/>
        <v>0.25</v>
      </c>
    </row>
    <row r="15" spans="1:29" x14ac:dyDescent="0.25">
      <c r="A15">
        <v>5.0999999999999996</v>
      </c>
      <c r="B15">
        <v>3.4</v>
      </c>
      <c r="C15">
        <v>1.5</v>
      </c>
      <c r="D15">
        <v>0.2</v>
      </c>
      <c r="E15" t="s">
        <v>5</v>
      </c>
      <c r="H15" t="s">
        <v>50</v>
      </c>
      <c r="I15">
        <f>I8-I7</f>
        <v>0.5</v>
      </c>
      <c r="J15">
        <f t="shared" ref="J15:K15" si="8">J8-J7</f>
        <v>0.79999999999999982</v>
      </c>
      <c r="K15">
        <f t="shared" si="8"/>
        <v>0.60000000000000053</v>
      </c>
      <c r="N15" t="s">
        <v>50</v>
      </c>
      <c r="O15">
        <f>O8-O7</f>
        <v>1</v>
      </c>
      <c r="P15">
        <f t="shared" ref="P15:Q15" si="9">P8-P7</f>
        <v>0.5</v>
      </c>
      <c r="Q15">
        <f t="shared" si="9"/>
        <v>0.5</v>
      </c>
      <c r="T15" t="s">
        <v>50</v>
      </c>
      <c r="U15">
        <f>U8-U7</f>
        <v>0.39999999999999991</v>
      </c>
      <c r="V15">
        <f t="shared" ref="V15:W15" si="10">V8-V7</f>
        <v>3.3</v>
      </c>
      <c r="W15">
        <f t="shared" si="10"/>
        <v>0.375</v>
      </c>
      <c r="Z15" t="s">
        <v>50</v>
      </c>
      <c r="AA15">
        <f>AA8-AA7</f>
        <v>0.1</v>
      </c>
      <c r="AB15">
        <f t="shared" ref="AB15:AC15" si="11">AB8-AB7</f>
        <v>1.2</v>
      </c>
      <c r="AC15">
        <f t="shared" si="11"/>
        <v>0.17500000000000004</v>
      </c>
    </row>
    <row r="16" spans="1:29" x14ac:dyDescent="0.25">
      <c r="A16">
        <v>4.8</v>
      </c>
      <c r="B16">
        <v>3</v>
      </c>
      <c r="C16">
        <v>1.6</v>
      </c>
      <c r="D16">
        <v>0.2</v>
      </c>
      <c r="E16" t="s">
        <v>5</v>
      </c>
      <c r="H16" t="s">
        <v>51</v>
      </c>
      <c r="I16">
        <f>I11-I10</f>
        <v>1.5250000000000004</v>
      </c>
      <c r="J16">
        <f t="shared" ref="J16:K16" si="12">J11-J10</f>
        <v>1.2000000000000002</v>
      </c>
      <c r="K16">
        <f t="shared" si="12"/>
        <v>0.70000000000000018</v>
      </c>
      <c r="N16" t="s">
        <v>51</v>
      </c>
      <c r="O16">
        <f>O11-O10</f>
        <v>0.80000000000000027</v>
      </c>
      <c r="P16">
        <f t="shared" ref="P16:Q16" si="13">P11-P10</f>
        <v>1</v>
      </c>
      <c r="Q16">
        <f t="shared" si="13"/>
        <v>0.59999999999999964</v>
      </c>
      <c r="T16" t="s">
        <v>51</v>
      </c>
      <c r="U16">
        <f>U11-U10</f>
        <v>3.2</v>
      </c>
      <c r="V16">
        <f t="shared" ref="V16:W16" si="14">V11-V10</f>
        <v>0.82500000000000018</v>
      </c>
      <c r="W16">
        <f t="shared" si="14"/>
        <v>0.70000000000000018</v>
      </c>
      <c r="Z16" t="s">
        <v>51</v>
      </c>
      <c r="AA16">
        <f>AA11-AA10</f>
        <v>1.5249999999999999</v>
      </c>
      <c r="AB16">
        <f t="shared" ref="AB16:AC16" si="15">AB11-AB10</f>
        <v>0.60000000000000009</v>
      </c>
      <c r="AC16">
        <f t="shared" si="15"/>
        <v>0.20000000000000018</v>
      </c>
    </row>
    <row r="17" spans="1:11" x14ac:dyDescent="0.25">
      <c r="A17">
        <v>5</v>
      </c>
      <c r="B17">
        <v>3.4</v>
      </c>
      <c r="C17">
        <v>1.6</v>
      </c>
      <c r="D17">
        <v>0.4</v>
      </c>
      <c r="E17" t="s">
        <v>5</v>
      </c>
    </row>
    <row r="18" spans="1:11" x14ac:dyDescent="0.25">
      <c r="A18">
        <v>5</v>
      </c>
      <c r="B18">
        <v>3.2</v>
      </c>
      <c r="C18">
        <v>1.2</v>
      </c>
      <c r="D18">
        <v>0.2</v>
      </c>
      <c r="E18" t="s">
        <v>5</v>
      </c>
      <c r="H18" t="s">
        <v>103</v>
      </c>
      <c r="I18">
        <f>I10-I8</f>
        <v>0.57499999999999929</v>
      </c>
      <c r="J18">
        <f t="shared" ref="J18:K18" si="16">J10-J8</f>
        <v>0.79999999999999982</v>
      </c>
      <c r="K18">
        <f>K10-K8</f>
        <v>1</v>
      </c>
    </row>
    <row r="19" spans="1:11" x14ac:dyDescent="0.25">
      <c r="A19">
        <v>5.2</v>
      </c>
      <c r="B19">
        <v>3.5</v>
      </c>
      <c r="C19">
        <v>1.3</v>
      </c>
      <c r="D19">
        <v>0.3</v>
      </c>
      <c r="E19" t="s">
        <v>5</v>
      </c>
      <c r="H19" t="s">
        <v>104</v>
      </c>
      <c r="I19">
        <f>I18*1.5</f>
        <v>0.86249999999999893</v>
      </c>
      <c r="J19">
        <f t="shared" ref="J19:K19" si="17">J18*1.5</f>
        <v>1.1999999999999997</v>
      </c>
      <c r="K19">
        <f t="shared" si="17"/>
        <v>1.5</v>
      </c>
    </row>
    <row r="20" spans="1:11" x14ac:dyDescent="0.25">
      <c r="A20">
        <v>5.2</v>
      </c>
      <c r="B20">
        <v>3.5</v>
      </c>
      <c r="C20">
        <v>1.6</v>
      </c>
      <c r="D20">
        <v>0.6</v>
      </c>
      <c r="E20" t="s">
        <v>5</v>
      </c>
      <c r="H20" t="s">
        <v>105</v>
      </c>
      <c r="I20">
        <f>I18*3</f>
        <v>1.7249999999999979</v>
      </c>
      <c r="J20">
        <f t="shared" ref="J20:K20" si="18">J18*3</f>
        <v>2.3999999999999995</v>
      </c>
      <c r="K20">
        <f t="shared" si="18"/>
        <v>3</v>
      </c>
    </row>
    <row r="21" spans="1:11" ht="16.5" x14ac:dyDescent="0.25">
      <c r="A21">
        <v>4.7</v>
      </c>
      <c r="B21">
        <v>3.3</v>
      </c>
      <c r="C21">
        <v>1.4</v>
      </c>
      <c r="D21">
        <v>0.2</v>
      </c>
      <c r="E21" t="s">
        <v>5</v>
      </c>
      <c r="H21" s="29" t="s">
        <v>106</v>
      </c>
      <c r="I21">
        <f>I8-I20</f>
        <v>3.1750000000000025</v>
      </c>
      <c r="J21">
        <f t="shared" ref="J21:K21" si="19">J8-J20</f>
        <v>3.3000000000000007</v>
      </c>
      <c r="K21">
        <f t="shared" si="19"/>
        <v>3.2</v>
      </c>
    </row>
    <row r="22" spans="1:11" x14ac:dyDescent="0.25">
      <c r="A22" s="5">
        <v>4.8</v>
      </c>
      <c r="B22" s="5">
        <v>2</v>
      </c>
      <c r="C22" s="5">
        <v>3.5</v>
      </c>
      <c r="D22" s="5">
        <v>1</v>
      </c>
      <c r="E22" s="5" t="s">
        <v>6</v>
      </c>
      <c r="H22" t="s">
        <v>107</v>
      </c>
      <c r="I22">
        <f>I10+I20</f>
        <v>7.1999999999999975</v>
      </c>
      <c r="J22">
        <f t="shared" ref="J22:K22" si="20">J10+J20</f>
        <v>8.8999999999999986</v>
      </c>
      <c r="K22">
        <f t="shared" si="20"/>
        <v>10.199999999999999</v>
      </c>
    </row>
    <row r="23" spans="1:11" x14ac:dyDescent="0.25">
      <c r="A23">
        <v>5.4</v>
      </c>
      <c r="B23">
        <v>2.2999999999999998</v>
      </c>
      <c r="C23">
        <v>3.3</v>
      </c>
      <c r="D23">
        <v>1</v>
      </c>
      <c r="E23" t="s">
        <v>6</v>
      </c>
      <c r="H23" t="s">
        <v>108</v>
      </c>
      <c r="I23">
        <f>I8-I19</f>
        <v>4.0375000000000014</v>
      </c>
      <c r="J23">
        <f t="shared" ref="J23:K23" si="21">J8-J19</f>
        <v>4.5</v>
      </c>
      <c r="K23">
        <f t="shared" si="21"/>
        <v>4.7</v>
      </c>
    </row>
    <row r="24" spans="1:11" x14ac:dyDescent="0.25">
      <c r="A24">
        <v>5.2</v>
      </c>
      <c r="B24">
        <v>3.5</v>
      </c>
      <c r="C24">
        <v>1.4</v>
      </c>
      <c r="D24">
        <v>0.2</v>
      </c>
      <c r="E24" t="s">
        <v>5</v>
      </c>
      <c r="H24" t="s">
        <v>109</v>
      </c>
      <c r="I24">
        <f>I10+I19</f>
        <v>6.3374999999999986</v>
      </c>
      <c r="J24">
        <f t="shared" ref="J24:K24" si="22">J10+J19</f>
        <v>7.6999999999999993</v>
      </c>
      <c r="K24">
        <f t="shared" si="22"/>
        <v>8.6999999999999993</v>
      </c>
    </row>
    <row r="25" spans="1:11" x14ac:dyDescent="0.25">
      <c r="A25" s="5">
        <v>5.5</v>
      </c>
      <c r="B25" s="5">
        <v>3.5</v>
      </c>
      <c r="C25" s="5">
        <v>1.4</v>
      </c>
      <c r="D25" s="5">
        <v>0.3</v>
      </c>
      <c r="E25" s="5" t="s">
        <v>5</v>
      </c>
    </row>
    <row r="26" spans="1:11" x14ac:dyDescent="0.25">
      <c r="A26">
        <v>4.9000000000000004</v>
      </c>
      <c r="B26">
        <v>3.8</v>
      </c>
      <c r="C26">
        <v>1.5</v>
      </c>
      <c r="D26">
        <v>0.3</v>
      </c>
      <c r="E26" t="s">
        <v>5</v>
      </c>
    </row>
    <row r="27" spans="1:11" x14ac:dyDescent="0.25">
      <c r="A27">
        <v>5</v>
      </c>
      <c r="B27">
        <v>3.7</v>
      </c>
      <c r="C27">
        <v>1.5</v>
      </c>
      <c r="D27">
        <v>0.4</v>
      </c>
      <c r="E27" t="s">
        <v>5</v>
      </c>
      <c r="I27">
        <f>COUNTIFS(A2:A151,"&gt;=6.3",E2:E151,"Iris-setosa")</f>
        <v>3</v>
      </c>
    </row>
    <row r="28" spans="1:11" x14ac:dyDescent="0.25">
      <c r="A28" s="5">
        <v>5.5</v>
      </c>
      <c r="B28" s="5">
        <v>3.3</v>
      </c>
      <c r="C28" s="5">
        <v>1.7</v>
      </c>
      <c r="D28" s="5">
        <v>0.5</v>
      </c>
      <c r="E28" s="5" t="s">
        <v>5</v>
      </c>
    </row>
    <row r="29" spans="1:11" x14ac:dyDescent="0.25">
      <c r="A29">
        <v>4.9000000000000004</v>
      </c>
      <c r="B29">
        <v>3.4</v>
      </c>
      <c r="C29">
        <v>1.5</v>
      </c>
      <c r="D29">
        <v>0.2</v>
      </c>
      <c r="E29" t="s">
        <v>5</v>
      </c>
    </row>
    <row r="30" spans="1:11" x14ac:dyDescent="0.25">
      <c r="A30">
        <v>4.4000000000000004</v>
      </c>
      <c r="B30">
        <v>3.8</v>
      </c>
      <c r="C30">
        <v>1.9</v>
      </c>
      <c r="D30">
        <v>0.4</v>
      </c>
      <c r="E30" t="s">
        <v>5</v>
      </c>
    </row>
    <row r="31" spans="1:11" x14ac:dyDescent="0.25">
      <c r="A31">
        <v>5.0999999999999996</v>
      </c>
      <c r="B31">
        <v>3.8</v>
      </c>
      <c r="C31">
        <v>1.6</v>
      </c>
      <c r="D31">
        <v>0.2</v>
      </c>
      <c r="E31" t="s">
        <v>5</v>
      </c>
    </row>
    <row r="32" spans="1:11" x14ac:dyDescent="0.25">
      <c r="A32" s="5">
        <v>5</v>
      </c>
      <c r="B32" s="5">
        <v>2.5</v>
      </c>
      <c r="C32" s="5">
        <v>3</v>
      </c>
      <c r="D32" s="5">
        <v>1.1000000000000001</v>
      </c>
      <c r="E32" s="5" t="s">
        <v>6</v>
      </c>
    </row>
    <row r="33" spans="1:5" x14ac:dyDescent="0.25">
      <c r="A33">
        <v>4.5</v>
      </c>
      <c r="B33">
        <v>3.5</v>
      </c>
      <c r="C33">
        <v>1.5</v>
      </c>
      <c r="D33">
        <v>0.2</v>
      </c>
      <c r="E33" t="s">
        <v>5</v>
      </c>
    </row>
    <row r="34" spans="1:5" x14ac:dyDescent="0.25">
      <c r="A34">
        <v>4.4000000000000004</v>
      </c>
      <c r="B34">
        <v>3.4</v>
      </c>
      <c r="C34">
        <v>1.4</v>
      </c>
      <c r="D34">
        <v>0.2</v>
      </c>
      <c r="E34" t="s">
        <v>5</v>
      </c>
    </row>
    <row r="35" spans="1:5" x14ac:dyDescent="0.25">
      <c r="A35">
        <v>5</v>
      </c>
      <c r="B35">
        <v>4.0999999999999996</v>
      </c>
      <c r="C35">
        <v>1.5</v>
      </c>
      <c r="D35">
        <v>0.1</v>
      </c>
      <c r="E35" t="s">
        <v>5</v>
      </c>
    </row>
    <row r="36" spans="1:5" x14ac:dyDescent="0.25">
      <c r="A36" s="5">
        <v>5.0999999999999996</v>
      </c>
      <c r="B36" s="5">
        <v>2.7</v>
      </c>
      <c r="C36" s="5">
        <v>3.9</v>
      </c>
      <c r="D36" s="5">
        <v>1.4</v>
      </c>
      <c r="E36" s="5" t="s">
        <v>6</v>
      </c>
    </row>
    <row r="37" spans="1:5" x14ac:dyDescent="0.25">
      <c r="A37">
        <v>4.8</v>
      </c>
      <c r="B37">
        <v>3.7</v>
      </c>
      <c r="C37">
        <v>1.5</v>
      </c>
      <c r="D37">
        <v>0.2</v>
      </c>
      <c r="E37" t="s">
        <v>5</v>
      </c>
    </row>
    <row r="38" spans="1:5" x14ac:dyDescent="0.25">
      <c r="A38">
        <v>5.0999999999999996</v>
      </c>
      <c r="B38">
        <v>3.9</v>
      </c>
      <c r="C38">
        <v>1.7</v>
      </c>
      <c r="D38">
        <v>0.4</v>
      </c>
      <c r="E38" t="s">
        <v>5</v>
      </c>
    </row>
    <row r="39" spans="1:5" x14ac:dyDescent="0.25">
      <c r="A39">
        <v>4.5999999999999996</v>
      </c>
      <c r="B39">
        <v>3.7</v>
      </c>
      <c r="C39">
        <v>1.5</v>
      </c>
      <c r="D39">
        <v>0.2</v>
      </c>
      <c r="E39" t="s">
        <v>5</v>
      </c>
    </row>
    <row r="40" spans="1:5" x14ac:dyDescent="0.25">
      <c r="A40">
        <v>5.3</v>
      </c>
      <c r="B40">
        <v>3.9</v>
      </c>
      <c r="C40">
        <v>1.3</v>
      </c>
      <c r="D40">
        <v>0.4</v>
      </c>
      <c r="E40" t="s">
        <v>5</v>
      </c>
    </row>
    <row r="41" spans="1:5" x14ac:dyDescent="0.25">
      <c r="A41">
        <v>5</v>
      </c>
      <c r="B41">
        <v>3.4</v>
      </c>
      <c r="C41">
        <v>1.7</v>
      </c>
      <c r="D41">
        <v>0.2</v>
      </c>
      <c r="E41" t="s">
        <v>5</v>
      </c>
    </row>
    <row r="42" spans="1:5" x14ac:dyDescent="0.25">
      <c r="A42" s="5">
        <v>7</v>
      </c>
      <c r="B42" s="5">
        <v>3.4</v>
      </c>
      <c r="C42" s="5">
        <v>1.5</v>
      </c>
      <c r="D42" s="5">
        <v>0.4</v>
      </c>
      <c r="E42" s="5" t="s">
        <v>5</v>
      </c>
    </row>
    <row r="43" spans="1:5" x14ac:dyDescent="0.25">
      <c r="A43">
        <v>6.4</v>
      </c>
      <c r="B43">
        <v>3</v>
      </c>
      <c r="C43">
        <v>4.5</v>
      </c>
      <c r="D43">
        <v>1.5</v>
      </c>
      <c r="E43" t="s">
        <v>6</v>
      </c>
    </row>
    <row r="44" spans="1:5" x14ac:dyDescent="0.25">
      <c r="A44" s="5">
        <v>6.9</v>
      </c>
      <c r="B44" s="5">
        <v>4.2</v>
      </c>
      <c r="C44" s="5">
        <v>1.4</v>
      </c>
      <c r="D44" s="5">
        <v>0.2</v>
      </c>
      <c r="E44" s="5" t="s">
        <v>5</v>
      </c>
    </row>
    <row r="45" spans="1:5" x14ac:dyDescent="0.25">
      <c r="A45" s="5">
        <v>5.5</v>
      </c>
      <c r="B45" s="5">
        <v>3.5</v>
      </c>
      <c r="C45" s="5">
        <v>1.3</v>
      </c>
      <c r="D45" s="5">
        <v>0.2</v>
      </c>
      <c r="E45" s="5" t="s">
        <v>5</v>
      </c>
    </row>
    <row r="46" spans="1:5" x14ac:dyDescent="0.25">
      <c r="A46">
        <v>5.6</v>
      </c>
      <c r="B46">
        <v>2.8</v>
      </c>
      <c r="C46">
        <v>4.9000000000000004</v>
      </c>
      <c r="D46">
        <v>2</v>
      </c>
      <c r="E46" t="s">
        <v>7</v>
      </c>
    </row>
    <row r="47" spans="1:5" x14ac:dyDescent="0.25">
      <c r="A47" s="5">
        <v>6.7</v>
      </c>
      <c r="B47" s="5">
        <v>4.4000000000000004</v>
      </c>
      <c r="C47" s="5">
        <v>1.5</v>
      </c>
      <c r="D47" s="5">
        <v>0.4</v>
      </c>
      <c r="E47" s="5" t="s">
        <v>5</v>
      </c>
    </row>
    <row r="48" spans="1:5" x14ac:dyDescent="0.25">
      <c r="A48" s="5">
        <v>5.6</v>
      </c>
      <c r="B48" s="5">
        <v>3.8</v>
      </c>
      <c r="C48" s="5">
        <v>1.7</v>
      </c>
      <c r="D48" s="5">
        <v>0.3</v>
      </c>
      <c r="E48" s="5" t="s">
        <v>5</v>
      </c>
    </row>
    <row r="49" spans="1:5" x14ac:dyDescent="0.25">
      <c r="A49">
        <v>5.8</v>
      </c>
      <c r="B49">
        <v>2.8</v>
      </c>
      <c r="C49">
        <v>4.5</v>
      </c>
      <c r="D49">
        <v>1.3</v>
      </c>
      <c r="E49" t="s">
        <v>6</v>
      </c>
    </row>
    <row r="50" spans="1:5" x14ac:dyDescent="0.25">
      <c r="A50">
        <v>6.2</v>
      </c>
      <c r="B50">
        <v>2.6</v>
      </c>
      <c r="C50">
        <v>3.5</v>
      </c>
      <c r="D50">
        <v>1</v>
      </c>
      <c r="E50" t="s">
        <v>6</v>
      </c>
    </row>
    <row r="51" spans="1:5" x14ac:dyDescent="0.25">
      <c r="A51">
        <v>5.6</v>
      </c>
      <c r="B51">
        <v>3</v>
      </c>
      <c r="C51">
        <v>4.2</v>
      </c>
      <c r="D51">
        <v>1.2</v>
      </c>
      <c r="E51" t="s">
        <v>6</v>
      </c>
    </row>
    <row r="52" spans="1:5" x14ac:dyDescent="0.25">
      <c r="A52">
        <v>5.9</v>
      </c>
      <c r="B52">
        <v>2.9</v>
      </c>
      <c r="C52">
        <v>4.2</v>
      </c>
      <c r="D52">
        <v>1.3</v>
      </c>
      <c r="E52" t="s">
        <v>6</v>
      </c>
    </row>
    <row r="53" spans="1:5" x14ac:dyDescent="0.25">
      <c r="A53">
        <v>6.1</v>
      </c>
      <c r="B53">
        <v>2.8</v>
      </c>
      <c r="C53">
        <v>4.0999999999999996</v>
      </c>
      <c r="D53">
        <v>1.3</v>
      </c>
      <c r="E53" t="s">
        <v>6</v>
      </c>
    </row>
    <row r="54" spans="1:5" x14ac:dyDescent="0.25">
      <c r="A54">
        <v>6.3</v>
      </c>
      <c r="B54">
        <v>2.5</v>
      </c>
      <c r="C54">
        <v>5</v>
      </c>
      <c r="D54">
        <v>2</v>
      </c>
      <c r="E54" t="s">
        <v>7</v>
      </c>
    </row>
    <row r="55" spans="1:5" x14ac:dyDescent="0.25">
      <c r="A55" s="5">
        <v>6.1</v>
      </c>
      <c r="B55" s="5">
        <v>4</v>
      </c>
      <c r="C55" s="5">
        <v>1.2</v>
      </c>
      <c r="D55" s="5">
        <v>0.2</v>
      </c>
      <c r="E55" s="5" t="s">
        <v>5</v>
      </c>
    </row>
    <row r="56" spans="1:5" x14ac:dyDescent="0.25">
      <c r="A56">
        <v>6.4</v>
      </c>
      <c r="B56">
        <v>2.7</v>
      </c>
      <c r="C56">
        <v>4.0999999999999996</v>
      </c>
      <c r="D56">
        <v>1</v>
      </c>
      <c r="E56" t="s">
        <v>6</v>
      </c>
    </row>
    <row r="57" spans="1:5" x14ac:dyDescent="0.25">
      <c r="A57">
        <v>6.6</v>
      </c>
      <c r="B57">
        <v>2.7</v>
      </c>
      <c r="C57">
        <v>3.9</v>
      </c>
      <c r="D57">
        <v>1.2</v>
      </c>
      <c r="E57" t="s">
        <v>6</v>
      </c>
    </row>
    <row r="58" spans="1:5" x14ac:dyDescent="0.25">
      <c r="A58">
        <v>6.8</v>
      </c>
      <c r="B58">
        <v>2.6</v>
      </c>
      <c r="C58">
        <v>4</v>
      </c>
      <c r="D58">
        <v>1.2</v>
      </c>
      <c r="E58" t="s">
        <v>6</v>
      </c>
    </row>
    <row r="59" spans="1:5" x14ac:dyDescent="0.25">
      <c r="A59">
        <v>6.7</v>
      </c>
      <c r="B59">
        <v>2.7</v>
      </c>
      <c r="C59">
        <v>5.0999999999999996</v>
      </c>
      <c r="D59">
        <v>1.9</v>
      </c>
      <c r="E59" t="s">
        <v>7</v>
      </c>
    </row>
    <row r="60" spans="1:5" x14ac:dyDescent="0.25">
      <c r="A60">
        <v>6</v>
      </c>
      <c r="B60">
        <v>2.8</v>
      </c>
      <c r="C60">
        <v>5.0999999999999996</v>
      </c>
      <c r="D60">
        <v>2.4</v>
      </c>
      <c r="E60" t="s">
        <v>7</v>
      </c>
    </row>
    <row r="61" spans="1:5" x14ac:dyDescent="0.25">
      <c r="A61">
        <v>5.7</v>
      </c>
      <c r="B61">
        <v>2.7</v>
      </c>
      <c r="C61">
        <v>5.0999999999999996</v>
      </c>
      <c r="D61">
        <v>1.9</v>
      </c>
      <c r="E61" t="s">
        <v>7</v>
      </c>
    </row>
    <row r="62" spans="1:5" x14ac:dyDescent="0.25">
      <c r="A62">
        <v>5.5</v>
      </c>
      <c r="B62">
        <v>3</v>
      </c>
      <c r="C62">
        <v>4.2</v>
      </c>
      <c r="D62">
        <v>1.5</v>
      </c>
      <c r="E62" t="s">
        <v>6</v>
      </c>
    </row>
    <row r="63" spans="1:5" x14ac:dyDescent="0.25">
      <c r="A63">
        <v>5.5</v>
      </c>
      <c r="B63">
        <v>3.2</v>
      </c>
      <c r="C63">
        <v>4.8</v>
      </c>
      <c r="D63">
        <v>1.8</v>
      </c>
      <c r="E63" t="s">
        <v>6</v>
      </c>
    </row>
    <row r="64" spans="1:5" x14ac:dyDescent="0.25">
      <c r="A64">
        <v>5.8</v>
      </c>
      <c r="B64">
        <v>3</v>
      </c>
      <c r="C64">
        <v>5.0999999999999996</v>
      </c>
      <c r="D64">
        <v>1.8</v>
      </c>
      <c r="E64" t="s">
        <v>7</v>
      </c>
    </row>
    <row r="65" spans="1:5" x14ac:dyDescent="0.25">
      <c r="A65">
        <v>6</v>
      </c>
      <c r="B65">
        <v>2.2000000000000002</v>
      </c>
      <c r="C65">
        <v>4</v>
      </c>
      <c r="D65">
        <v>1</v>
      </c>
      <c r="E65" t="s">
        <v>6</v>
      </c>
    </row>
    <row r="66" spans="1:5" x14ac:dyDescent="0.25">
      <c r="A66">
        <v>5.4</v>
      </c>
      <c r="B66">
        <v>2.9</v>
      </c>
      <c r="C66">
        <v>4.5</v>
      </c>
      <c r="D66">
        <v>1.5</v>
      </c>
      <c r="E66" t="s">
        <v>6</v>
      </c>
    </row>
    <row r="67" spans="1:5" x14ac:dyDescent="0.25">
      <c r="A67">
        <v>6</v>
      </c>
      <c r="B67">
        <v>2.7</v>
      </c>
      <c r="C67">
        <v>5.0999999999999996</v>
      </c>
      <c r="D67">
        <v>1.6</v>
      </c>
      <c r="E67" t="s">
        <v>6</v>
      </c>
    </row>
    <row r="68" spans="1:5" x14ac:dyDescent="0.25">
      <c r="A68">
        <v>6.7</v>
      </c>
      <c r="B68">
        <v>3.4</v>
      </c>
      <c r="C68">
        <v>4.5</v>
      </c>
      <c r="D68">
        <v>1.6</v>
      </c>
      <c r="E68" t="s">
        <v>6</v>
      </c>
    </row>
    <row r="69" spans="1:5" x14ac:dyDescent="0.25">
      <c r="A69">
        <v>6.3</v>
      </c>
      <c r="B69">
        <v>2.2000000000000002</v>
      </c>
      <c r="C69">
        <v>5</v>
      </c>
      <c r="D69">
        <v>1.5</v>
      </c>
      <c r="E69" t="s">
        <v>7</v>
      </c>
    </row>
    <row r="70" spans="1:5" x14ac:dyDescent="0.25">
      <c r="A70">
        <v>5.6</v>
      </c>
      <c r="B70">
        <v>3</v>
      </c>
      <c r="C70">
        <v>4.8</v>
      </c>
      <c r="D70">
        <v>1.8</v>
      </c>
      <c r="E70" t="s">
        <v>7</v>
      </c>
    </row>
    <row r="71" spans="1:5" x14ac:dyDescent="0.25">
      <c r="A71">
        <v>5.5</v>
      </c>
      <c r="B71">
        <v>2.9</v>
      </c>
      <c r="C71">
        <v>4.7</v>
      </c>
      <c r="D71">
        <v>1.4</v>
      </c>
      <c r="E71" t="s">
        <v>6</v>
      </c>
    </row>
    <row r="72" spans="1:5" x14ac:dyDescent="0.25">
      <c r="A72">
        <v>5.5</v>
      </c>
      <c r="B72">
        <v>2.8</v>
      </c>
      <c r="C72">
        <v>4</v>
      </c>
      <c r="D72">
        <v>1.3</v>
      </c>
      <c r="E72" t="s">
        <v>6</v>
      </c>
    </row>
    <row r="73" spans="1:5" x14ac:dyDescent="0.25">
      <c r="A73">
        <v>6.1</v>
      </c>
      <c r="B73">
        <v>2.8</v>
      </c>
      <c r="C73">
        <v>4.7</v>
      </c>
      <c r="D73">
        <v>1.2</v>
      </c>
      <c r="E73" t="s">
        <v>6</v>
      </c>
    </row>
    <row r="74" spans="1:5" x14ac:dyDescent="0.25">
      <c r="A74">
        <v>5.8</v>
      </c>
      <c r="B74">
        <v>3</v>
      </c>
      <c r="C74">
        <v>4.5999999999999996</v>
      </c>
      <c r="D74">
        <v>1.4</v>
      </c>
      <c r="E74" t="s">
        <v>6</v>
      </c>
    </row>
    <row r="75" spans="1:5" x14ac:dyDescent="0.25">
      <c r="A75" s="5">
        <v>5</v>
      </c>
      <c r="B75" s="5">
        <v>3</v>
      </c>
      <c r="C75" s="5">
        <v>4.9000000000000004</v>
      </c>
      <c r="D75" s="5">
        <v>1.8</v>
      </c>
      <c r="E75" s="5" t="s">
        <v>7</v>
      </c>
    </row>
    <row r="76" spans="1:5" x14ac:dyDescent="0.25">
      <c r="A76">
        <v>5.6</v>
      </c>
      <c r="B76">
        <v>2.6</v>
      </c>
      <c r="C76">
        <v>5.6</v>
      </c>
      <c r="D76">
        <v>1.4</v>
      </c>
      <c r="E76" t="s">
        <v>7</v>
      </c>
    </row>
    <row r="77" spans="1:5" x14ac:dyDescent="0.25">
      <c r="A77">
        <v>5.7</v>
      </c>
      <c r="B77">
        <v>2.2000000000000002</v>
      </c>
      <c r="C77">
        <v>4.5</v>
      </c>
      <c r="D77">
        <v>1.5</v>
      </c>
      <c r="E77" t="s">
        <v>6</v>
      </c>
    </row>
    <row r="78" spans="1:5" x14ac:dyDescent="0.25">
      <c r="A78">
        <v>5.7</v>
      </c>
      <c r="B78">
        <v>2.9</v>
      </c>
      <c r="C78">
        <v>4.3</v>
      </c>
      <c r="D78">
        <v>1.3</v>
      </c>
      <c r="E78" t="s">
        <v>6</v>
      </c>
    </row>
    <row r="79" spans="1:5" x14ac:dyDescent="0.25">
      <c r="A79">
        <v>6.2</v>
      </c>
      <c r="B79">
        <v>2.8</v>
      </c>
      <c r="C79">
        <v>4.8</v>
      </c>
      <c r="D79">
        <v>1.8</v>
      </c>
      <c r="E79" t="s">
        <v>7</v>
      </c>
    </row>
    <row r="80" spans="1:5" x14ac:dyDescent="0.25">
      <c r="A80" s="5">
        <v>5.0999999999999996</v>
      </c>
      <c r="B80" s="5">
        <v>3.4</v>
      </c>
      <c r="C80" s="5">
        <v>5.4</v>
      </c>
      <c r="D80" s="5">
        <v>2.2999999999999998</v>
      </c>
      <c r="E80" s="5" t="s">
        <v>7</v>
      </c>
    </row>
    <row r="81" spans="1:5" x14ac:dyDescent="0.25">
      <c r="A81">
        <v>5.7</v>
      </c>
      <c r="B81">
        <v>3.3</v>
      </c>
      <c r="C81">
        <v>4.7</v>
      </c>
      <c r="D81">
        <v>1.6</v>
      </c>
      <c r="E81" t="s">
        <v>6</v>
      </c>
    </row>
    <row r="82" spans="1:5" x14ac:dyDescent="0.25">
      <c r="A82">
        <v>6.3</v>
      </c>
      <c r="B82">
        <v>2.5</v>
      </c>
      <c r="C82">
        <v>4.9000000000000004</v>
      </c>
      <c r="D82">
        <v>1.5</v>
      </c>
      <c r="E82" t="s">
        <v>6</v>
      </c>
    </row>
    <row r="83" spans="1:5" x14ac:dyDescent="0.25">
      <c r="A83">
        <v>5.8</v>
      </c>
      <c r="B83">
        <v>2.2999999999999998</v>
      </c>
      <c r="C83">
        <v>4.4000000000000004</v>
      </c>
      <c r="D83">
        <v>1.3</v>
      </c>
      <c r="E83" t="s">
        <v>6</v>
      </c>
    </row>
    <row r="84" spans="1:5" x14ac:dyDescent="0.25">
      <c r="A84">
        <v>7.1</v>
      </c>
      <c r="B84">
        <v>3.3</v>
      </c>
      <c r="C84">
        <v>6</v>
      </c>
      <c r="D84">
        <v>2.5</v>
      </c>
      <c r="E84" t="s">
        <v>7</v>
      </c>
    </row>
    <row r="85" spans="1:5" x14ac:dyDescent="0.25">
      <c r="A85">
        <v>6.3</v>
      </c>
      <c r="B85">
        <v>2.9</v>
      </c>
      <c r="C85">
        <v>5.6</v>
      </c>
      <c r="D85">
        <v>1.8</v>
      </c>
      <c r="E85" t="s">
        <v>7</v>
      </c>
    </row>
    <row r="86" spans="1:5" x14ac:dyDescent="0.25">
      <c r="A86">
        <v>6.5</v>
      </c>
      <c r="B86">
        <v>2.7</v>
      </c>
      <c r="C86">
        <v>4.9000000000000004</v>
      </c>
      <c r="D86">
        <v>1.8</v>
      </c>
      <c r="E86" t="s">
        <v>7</v>
      </c>
    </row>
    <row r="87" spans="1:5" x14ac:dyDescent="0.25">
      <c r="A87">
        <v>7.6</v>
      </c>
      <c r="B87">
        <v>2.8</v>
      </c>
      <c r="C87">
        <v>5.0999999999999996</v>
      </c>
      <c r="D87">
        <v>1.5</v>
      </c>
      <c r="E87" t="s">
        <v>7</v>
      </c>
    </row>
    <row r="88" spans="1:5" x14ac:dyDescent="0.25">
      <c r="A88" s="5">
        <v>4.9000000000000004</v>
      </c>
      <c r="B88" s="5">
        <v>3.4</v>
      </c>
      <c r="C88" s="5">
        <v>5.6</v>
      </c>
      <c r="D88" s="5">
        <v>2.4</v>
      </c>
      <c r="E88" s="5" t="s">
        <v>7</v>
      </c>
    </row>
    <row r="89" spans="1:5" x14ac:dyDescent="0.25">
      <c r="A89">
        <v>7.3</v>
      </c>
      <c r="B89">
        <v>2.5</v>
      </c>
      <c r="C89">
        <v>5</v>
      </c>
      <c r="D89">
        <v>1.9</v>
      </c>
      <c r="E89" t="s">
        <v>7</v>
      </c>
    </row>
    <row r="90" spans="1:5" x14ac:dyDescent="0.25">
      <c r="A90">
        <v>6.7</v>
      </c>
      <c r="B90">
        <v>3.2</v>
      </c>
      <c r="C90">
        <v>4.5</v>
      </c>
      <c r="D90">
        <v>1.5</v>
      </c>
      <c r="E90" t="s">
        <v>6</v>
      </c>
    </row>
    <row r="91" spans="1:5" x14ac:dyDescent="0.25">
      <c r="A91">
        <v>7.2</v>
      </c>
      <c r="B91">
        <v>2.9</v>
      </c>
      <c r="C91">
        <v>4.3</v>
      </c>
      <c r="D91">
        <v>1.3</v>
      </c>
      <c r="E91" t="s">
        <v>6</v>
      </c>
    </row>
    <row r="92" spans="1:5" x14ac:dyDescent="0.25">
      <c r="A92">
        <v>6.5</v>
      </c>
      <c r="B92">
        <v>2.7</v>
      </c>
      <c r="C92">
        <v>5.3</v>
      </c>
      <c r="D92">
        <v>1.9</v>
      </c>
      <c r="E92" t="s">
        <v>7</v>
      </c>
    </row>
    <row r="93" spans="1:5" x14ac:dyDescent="0.25">
      <c r="A93">
        <v>6.4</v>
      </c>
      <c r="B93">
        <v>3.2</v>
      </c>
      <c r="C93">
        <v>5.3</v>
      </c>
      <c r="D93">
        <v>2.2999999999999998</v>
      </c>
      <c r="E93" t="s">
        <v>7</v>
      </c>
    </row>
    <row r="94" spans="1:5" x14ac:dyDescent="0.25">
      <c r="A94">
        <v>6.8</v>
      </c>
      <c r="B94">
        <v>2.8</v>
      </c>
      <c r="C94">
        <v>5.6</v>
      </c>
      <c r="D94">
        <v>2.1</v>
      </c>
      <c r="E94" t="s">
        <v>7</v>
      </c>
    </row>
    <row r="95" spans="1:5" x14ac:dyDescent="0.25">
      <c r="A95">
        <v>5.7</v>
      </c>
      <c r="B95">
        <v>2.8</v>
      </c>
      <c r="C95">
        <v>5.6</v>
      </c>
      <c r="D95">
        <v>2.2000000000000002</v>
      </c>
      <c r="E95" t="s">
        <v>7</v>
      </c>
    </row>
    <row r="96" spans="1:5" x14ac:dyDescent="0.25">
      <c r="A96">
        <v>5.8</v>
      </c>
      <c r="B96">
        <v>3.1</v>
      </c>
      <c r="C96">
        <v>5.5</v>
      </c>
      <c r="D96">
        <v>1.8</v>
      </c>
      <c r="E96" t="s">
        <v>7</v>
      </c>
    </row>
    <row r="97" spans="1:5" x14ac:dyDescent="0.25">
      <c r="A97">
        <v>6.4</v>
      </c>
      <c r="B97">
        <v>2.8</v>
      </c>
      <c r="C97">
        <v>4.5999999999999996</v>
      </c>
      <c r="D97">
        <v>1.5</v>
      </c>
      <c r="E97" t="s">
        <v>6</v>
      </c>
    </row>
    <row r="98" spans="1:5" x14ac:dyDescent="0.25">
      <c r="A98">
        <v>6.5</v>
      </c>
      <c r="B98">
        <v>3</v>
      </c>
      <c r="C98">
        <v>5.8</v>
      </c>
      <c r="D98">
        <v>2.2000000000000002</v>
      </c>
      <c r="E98" t="s">
        <v>7</v>
      </c>
    </row>
    <row r="99" spans="1:5" x14ac:dyDescent="0.25">
      <c r="A99">
        <v>7.7</v>
      </c>
      <c r="B99">
        <v>3.2</v>
      </c>
      <c r="C99">
        <v>5.0999999999999996</v>
      </c>
      <c r="D99">
        <v>2</v>
      </c>
      <c r="E99" t="s">
        <v>7</v>
      </c>
    </row>
    <row r="100" spans="1:5" x14ac:dyDescent="0.25">
      <c r="A100">
        <v>7.7</v>
      </c>
      <c r="B100">
        <v>3</v>
      </c>
      <c r="C100">
        <v>5.5</v>
      </c>
      <c r="D100">
        <v>1.8</v>
      </c>
      <c r="E100" t="s">
        <v>7</v>
      </c>
    </row>
    <row r="101" spans="1:5" x14ac:dyDescent="0.25">
      <c r="A101">
        <v>6</v>
      </c>
      <c r="B101">
        <v>3</v>
      </c>
      <c r="C101">
        <v>5.2</v>
      </c>
      <c r="D101">
        <v>2</v>
      </c>
      <c r="E101" t="s">
        <v>7</v>
      </c>
    </row>
    <row r="102" spans="1:5" x14ac:dyDescent="0.25">
      <c r="A102">
        <v>6.9</v>
      </c>
      <c r="B102">
        <v>2.9</v>
      </c>
      <c r="C102">
        <v>4.5999999999999996</v>
      </c>
      <c r="D102">
        <v>1.3</v>
      </c>
      <c r="E102" t="s">
        <v>6</v>
      </c>
    </row>
    <row r="103" spans="1:5" x14ac:dyDescent="0.25">
      <c r="A103">
        <v>5.6</v>
      </c>
      <c r="B103">
        <v>3</v>
      </c>
      <c r="C103">
        <v>4.4000000000000004</v>
      </c>
      <c r="D103">
        <v>1.4</v>
      </c>
      <c r="E103" t="s">
        <v>6</v>
      </c>
    </row>
    <row r="104" spans="1:5" x14ac:dyDescent="0.25">
      <c r="A104">
        <v>7.7</v>
      </c>
      <c r="B104">
        <v>3.1</v>
      </c>
      <c r="C104">
        <v>4.4000000000000004</v>
      </c>
      <c r="D104">
        <v>1.4</v>
      </c>
      <c r="E104" t="s">
        <v>6</v>
      </c>
    </row>
    <row r="105" spans="1:5" x14ac:dyDescent="0.25">
      <c r="A105">
        <v>6.3</v>
      </c>
      <c r="B105">
        <v>3</v>
      </c>
      <c r="C105">
        <v>5</v>
      </c>
      <c r="D105">
        <v>1.7</v>
      </c>
      <c r="E105" t="s">
        <v>6</v>
      </c>
    </row>
    <row r="106" spans="1:5" x14ac:dyDescent="0.25">
      <c r="A106">
        <v>6.7</v>
      </c>
      <c r="B106">
        <v>3.1</v>
      </c>
      <c r="C106">
        <v>4.7</v>
      </c>
      <c r="D106">
        <v>1.5</v>
      </c>
      <c r="E106" t="s">
        <v>6</v>
      </c>
    </row>
    <row r="107" spans="1:5" x14ac:dyDescent="0.25">
      <c r="A107">
        <v>7.2</v>
      </c>
      <c r="B107">
        <v>2.5</v>
      </c>
      <c r="C107">
        <v>5.8</v>
      </c>
      <c r="D107">
        <v>1.8</v>
      </c>
      <c r="E107" t="s">
        <v>7</v>
      </c>
    </row>
    <row r="108" spans="1:5" x14ac:dyDescent="0.25">
      <c r="A108">
        <v>6.2</v>
      </c>
      <c r="B108">
        <v>3.3</v>
      </c>
      <c r="C108">
        <v>5.7</v>
      </c>
      <c r="D108">
        <v>2.1</v>
      </c>
      <c r="E108" t="s">
        <v>7</v>
      </c>
    </row>
    <row r="109" spans="1:5" x14ac:dyDescent="0.25">
      <c r="A109">
        <v>6.1</v>
      </c>
      <c r="B109">
        <v>3.1</v>
      </c>
      <c r="C109">
        <v>5.6</v>
      </c>
      <c r="D109">
        <v>2.4</v>
      </c>
      <c r="E109" t="s">
        <v>7</v>
      </c>
    </row>
    <row r="110" spans="1:5" x14ac:dyDescent="0.25">
      <c r="A110">
        <v>6.4</v>
      </c>
      <c r="B110">
        <v>3.3</v>
      </c>
      <c r="C110">
        <v>5.7</v>
      </c>
      <c r="D110">
        <v>2.5</v>
      </c>
      <c r="E110" t="s">
        <v>7</v>
      </c>
    </row>
    <row r="111" spans="1:5" x14ac:dyDescent="0.25">
      <c r="A111">
        <v>7.2</v>
      </c>
      <c r="B111">
        <v>3</v>
      </c>
      <c r="C111">
        <v>5.2</v>
      </c>
      <c r="D111">
        <v>2.2999999999999998</v>
      </c>
      <c r="E111" t="s">
        <v>7</v>
      </c>
    </row>
    <row r="112" spans="1:5" x14ac:dyDescent="0.25">
      <c r="A112">
        <v>7.4</v>
      </c>
      <c r="B112">
        <v>2.8</v>
      </c>
      <c r="C112">
        <v>4.8</v>
      </c>
      <c r="D112">
        <v>1.4</v>
      </c>
      <c r="E112" t="s">
        <v>6</v>
      </c>
    </row>
    <row r="113" spans="1:5" x14ac:dyDescent="0.25">
      <c r="A113">
        <v>7.9</v>
      </c>
      <c r="B113">
        <v>3</v>
      </c>
      <c r="C113">
        <v>5.5</v>
      </c>
      <c r="D113">
        <v>2.1</v>
      </c>
      <c r="E113" t="s">
        <v>7</v>
      </c>
    </row>
    <row r="114" spans="1:5" x14ac:dyDescent="0.25">
      <c r="A114">
        <v>6.4</v>
      </c>
      <c r="B114">
        <v>3.2</v>
      </c>
      <c r="C114">
        <v>5.9</v>
      </c>
      <c r="D114">
        <v>2.2999999999999998</v>
      </c>
      <c r="E114" t="s">
        <v>7</v>
      </c>
    </row>
    <row r="115" spans="1:5" x14ac:dyDescent="0.25">
      <c r="A115">
        <v>6.3</v>
      </c>
      <c r="B115">
        <v>3.1</v>
      </c>
      <c r="C115">
        <v>4.9000000000000004</v>
      </c>
      <c r="D115">
        <v>1.5</v>
      </c>
      <c r="E115" t="s">
        <v>6</v>
      </c>
    </row>
    <row r="116" spans="1:5" x14ac:dyDescent="0.25">
      <c r="A116">
        <v>6.1</v>
      </c>
      <c r="B116">
        <v>3.2</v>
      </c>
      <c r="C116">
        <v>5.7</v>
      </c>
      <c r="D116">
        <v>2.2999999999999998</v>
      </c>
      <c r="E116" t="s">
        <v>7</v>
      </c>
    </row>
    <row r="117" spans="1:5" x14ac:dyDescent="0.25">
      <c r="A117">
        <v>7.7</v>
      </c>
      <c r="B117">
        <v>3.1</v>
      </c>
      <c r="C117">
        <v>5.4</v>
      </c>
      <c r="D117">
        <v>2.1</v>
      </c>
      <c r="E117" t="s">
        <v>7</v>
      </c>
    </row>
    <row r="118" spans="1:5" x14ac:dyDescent="0.25">
      <c r="A118">
        <v>6.3</v>
      </c>
      <c r="B118">
        <v>3.1</v>
      </c>
      <c r="C118">
        <v>5.0999999999999996</v>
      </c>
      <c r="D118">
        <v>2.2999999999999998</v>
      </c>
      <c r="E118" t="s">
        <v>7</v>
      </c>
    </row>
    <row r="119" spans="1:5" x14ac:dyDescent="0.25">
      <c r="A119">
        <v>6.4</v>
      </c>
      <c r="B119">
        <v>3.2</v>
      </c>
      <c r="C119">
        <v>4.7</v>
      </c>
      <c r="D119">
        <v>1.4</v>
      </c>
      <c r="E119" t="s">
        <v>6</v>
      </c>
    </row>
    <row r="120" spans="1:5" x14ac:dyDescent="0.25">
      <c r="A120">
        <v>6.2</v>
      </c>
      <c r="B120">
        <v>3</v>
      </c>
      <c r="C120">
        <v>6.1</v>
      </c>
      <c r="D120">
        <v>2.2999999999999998</v>
      </c>
      <c r="E120" t="s">
        <v>7</v>
      </c>
    </row>
    <row r="121" spans="1:5" x14ac:dyDescent="0.25">
      <c r="A121">
        <v>5.9</v>
      </c>
      <c r="B121">
        <v>3.8</v>
      </c>
      <c r="C121">
        <v>6.4</v>
      </c>
      <c r="D121">
        <v>2</v>
      </c>
      <c r="E121" t="s">
        <v>7</v>
      </c>
    </row>
  </sheetData>
  <mergeCells count="4">
    <mergeCell ref="H2:K2"/>
    <mergeCell ref="N2:Q2"/>
    <mergeCell ref="T2:W2"/>
    <mergeCell ref="Z2:AC2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1"/>
  <sheetViews>
    <sheetView workbookViewId="0">
      <selection activeCell="G11" sqref="G11"/>
    </sheetView>
  </sheetViews>
  <sheetFormatPr defaultRowHeight="15" x14ac:dyDescent="0.25"/>
  <cols>
    <col min="1" max="1" width="13.140625" bestFit="1" customWidth="1"/>
    <col min="2" max="2" width="10.28515625" bestFit="1" customWidth="1"/>
    <col min="3" max="3" width="8.140625" bestFit="1" customWidth="1"/>
    <col min="4" max="4" width="9.140625" style="3"/>
  </cols>
  <sheetData>
    <row r="1" spans="1:8" x14ac:dyDescent="0.25">
      <c r="D1" s="3" t="s">
        <v>2</v>
      </c>
    </row>
    <row r="2" spans="1:8" ht="15.75" thickBot="1" x14ac:dyDescent="0.3">
      <c r="D2" s="3">
        <v>1.1000000000000001</v>
      </c>
    </row>
    <row r="3" spans="1:8" x14ac:dyDescent="0.25">
      <c r="A3" s="9" t="s">
        <v>54</v>
      </c>
      <c r="B3" t="s">
        <v>56</v>
      </c>
      <c r="C3" t="s">
        <v>57</v>
      </c>
      <c r="D3" s="3">
        <v>1.4</v>
      </c>
      <c r="E3" t="s">
        <v>58</v>
      </c>
      <c r="G3" s="21" t="s">
        <v>58</v>
      </c>
      <c r="H3" s="19" t="s">
        <v>56</v>
      </c>
    </row>
    <row r="4" spans="1:8" x14ac:dyDescent="0.25">
      <c r="A4" s="10" t="s">
        <v>82</v>
      </c>
      <c r="B4" s="12">
        <v>50</v>
      </c>
      <c r="C4" s="14">
        <v>0.33333333333333331</v>
      </c>
      <c r="D4" s="3">
        <v>1.3</v>
      </c>
      <c r="E4">
        <v>1</v>
      </c>
      <c r="G4" s="22" t="s">
        <v>84</v>
      </c>
      <c r="H4" s="17">
        <v>1</v>
      </c>
    </row>
    <row r="5" spans="1:8" x14ac:dyDescent="0.25">
      <c r="A5" s="10" t="s">
        <v>83</v>
      </c>
      <c r="B5" s="12">
        <v>11</v>
      </c>
      <c r="C5" s="14">
        <v>7.3333333333333334E-2</v>
      </c>
      <c r="D5" s="3">
        <v>1.3</v>
      </c>
      <c r="E5">
        <v>2</v>
      </c>
      <c r="G5" s="22" t="s">
        <v>85</v>
      </c>
      <c r="H5" s="17">
        <v>49</v>
      </c>
    </row>
    <row r="6" spans="1:8" x14ac:dyDescent="0.25">
      <c r="A6" s="10" t="s">
        <v>60</v>
      </c>
      <c r="B6" s="12">
        <v>43</v>
      </c>
      <c r="C6" s="14">
        <v>0.28666666666666668</v>
      </c>
      <c r="D6" s="3">
        <v>1.3</v>
      </c>
      <c r="E6">
        <v>3</v>
      </c>
      <c r="G6" s="22" t="s">
        <v>86</v>
      </c>
      <c r="H6" s="17">
        <v>1</v>
      </c>
    </row>
    <row r="7" spans="1:8" x14ac:dyDescent="0.25">
      <c r="A7" s="10" t="s">
        <v>61</v>
      </c>
      <c r="B7" s="12">
        <v>35</v>
      </c>
      <c r="C7" s="14">
        <v>0.23333333333333334</v>
      </c>
      <c r="D7" s="3">
        <v>1.5</v>
      </c>
      <c r="E7">
        <v>4</v>
      </c>
      <c r="G7" s="22" t="s">
        <v>87</v>
      </c>
      <c r="H7" s="17">
        <v>15</v>
      </c>
    </row>
    <row r="8" spans="1:8" x14ac:dyDescent="0.25">
      <c r="A8" s="10" t="s">
        <v>62</v>
      </c>
      <c r="B8" s="12">
        <v>11</v>
      </c>
      <c r="C8" s="14">
        <v>7.3333333333333334E-2</v>
      </c>
      <c r="D8" s="3">
        <v>1.4</v>
      </c>
      <c r="E8">
        <v>5</v>
      </c>
      <c r="G8" s="22" t="s">
        <v>65</v>
      </c>
      <c r="H8" s="17">
        <v>42</v>
      </c>
    </row>
    <row r="9" spans="1:8" x14ac:dyDescent="0.25">
      <c r="A9" s="10" t="s">
        <v>55</v>
      </c>
      <c r="B9" s="12">
        <v>150</v>
      </c>
      <c r="C9" s="14">
        <v>1</v>
      </c>
      <c r="D9" s="3">
        <v>1</v>
      </c>
      <c r="E9">
        <v>6</v>
      </c>
      <c r="G9" s="22" t="s">
        <v>66</v>
      </c>
      <c r="H9" s="17">
        <v>33</v>
      </c>
    </row>
    <row r="10" spans="1:8" x14ac:dyDescent="0.25">
      <c r="D10" s="3">
        <v>1.5</v>
      </c>
      <c r="E10">
        <v>7</v>
      </c>
      <c r="G10" s="22" t="s">
        <v>67</v>
      </c>
      <c r="H10" s="17">
        <v>9</v>
      </c>
    </row>
    <row r="11" spans="1:8" ht="15.75" thickBot="1" x14ac:dyDescent="0.3">
      <c r="D11" s="3">
        <v>1.5</v>
      </c>
      <c r="G11" s="23" t="s">
        <v>59</v>
      </c>
      <c r="H11" s="18">
        <v>0</v>
      </c>
    </row>
    <row r="12" spans="1:8" x14ac:dyDescent="0.25">
      <c r="D12" s="3">
        <v>1.4</v>
      </c>
    </row>
    <row r="13" spans="1:8" x14ac:dyDescent="0.25">
      <c r="D13" s="3">
        <v>1.5</v>
      </c>
    </row>
    <row r="14" spans="1:8" x14ac:dyDescent="0.25">
      <c r="D14" s="3">
        <v>1.6</v>
      </c>
      <c r="G14">
        <f>COUNTIFS(D2:D151,"&gt;1",D2:D151,"&lt;=2")</f>
        <v>49</v>
      </c>
    </row>
    <row r="15" spans="1:8" x14ac:dyDescent="0.25">
      <c r="D15" s="3">
        <v>1.6</v>
      </c>
    </row>
    <row r="16" spans="1:8" x14ac:dyDescent="0.25">
      <c r="D16" s="3">
        <v>1.2</v>
      </c>
    </row>
    <row r="17" spans="4:4" x14ac:dyDescent="0.25">
      <c r="D17" s="3">
        <v>1.3</v>
      </c>
    </row>
    <row r="18" spans="4:4" x14ac:dyDescent="0.25">
      <c r="D18" s="3">
        <v>1.6</v>
      </c>
    </row>
    <row r="19" spans="4:4" x14ac:dyDescent="0.25">
      <c r="D19" s="3">
        <v>1.4</v>
      </c>
    </row>
    <row r="20" spans="4:4" x14ac:dyDescent="0.25">
      <c r="D20" s="3">
        <v>1.4</v>
      </c>
    </row>
    <row r="21" spans="4:4" x14ac:dyDescent="0.25">
      <c r="D21" s="3">
        <v>1.4</v>
      </c>
    </row>
    <row r="22" spans="4:4" x14ac:dyDescent="0.25">
      <c r="D22" s="3">
        <v>1.5</v>
      </c>
    </row>
    <row r="23" spans="4:4" x14ac:dyDescent="0.25">
      <c r="D23" s="3">
        <v>1.5</v>
      </c>
    </row>
    <row r="24" spans="4:4" x14ac:dyDescent="0.25">
      <c r="D24" s="3">
        <v>1.7</v>
      </c>
    </row>
    <row r="25" spans="4:4" x14ac:dyDescent="0.25">
      <c r="D25" s="3">
        <v>1.5</v>
      </c>
    </row>
    <row r="26" spans="4:4" x14ac:dyDescent="0.25">
      <c r="D26" s="3">
        <v>1.9</v>
      </c>
    </row>
    <row r="27" spans="4:4" x14ac:dyDescent="0.25">
      <c r="D27" s="3">
        <v>1.6</v>
      </c>
    </row>
    <row r="28" spans="4:4" x14ac:dyDescent="0.25">
      <c r="D28" s="3">
        <v>1.5</v>
      </c>
    </row>
    <row r="29" spans="4:4" x14ac:dyDescent="0.25">
      <c r="D29" s="3">
        <v>1.4</v>
      </c>
    </row>
    <row r="30" spans="4:4" x14ac:dyDescent="0.25">
      <c r="D30" s="3">
        <v>1.5</v>
      </c>
    </row>
    <row r="31" spans="4:4" x14ac:dyDescent="0.25">
      <c r="D31" s="3">
        <v>1.5</v>
      </c>
    </row>
    <row r="32" spans="4:4" x14ac:dyDescent="0.25">
      <c r="D32" s="3">
        <v>1.7</v>
      </c>
    </row>
    <row r="33" spans="4:4" x14ac:dyDescent="0.25">
      <c r="D33" s="3">
        <v>1.5</v>
      </c>
    </row>
    <row r="34" spans="4:4" x14ac:dyDescent="0.25">
      <c r="D34" s="3">
        <v>1.3</v>
      </c>
    </row>
    <row r="35" spans="4:4" x14ac:dyDescent="0.25">
      <c r="D35" s="3">
        <v>1.7</v>
      </c>
    </row>
    <row r="36" spans="4:4" x14ac:dyDescent="0.25">
      <c r="D36" s="3">
        <v>1.5</v>
      </c>
    </row>
    <row r="37" spans="4:4" x14ac:dyDescent="0.25">
      <c r="D37" s="3">
        <v>1.4</v>
      </c>
    </row>
    <row r="38" spans="4:4" x14ac:dyDescent="0.25">
      <c r="D38" s="3">
        <v>1.3</v>
      </c>
    </row>
    <row r="39" spans="4:4" x14ac:dyDescent="0.25">
      <c r="D39" s="3">
        <v>1.5</v>
      </c>
    </row>
    <row r="40" spans="4:4" x14ac:dyDescent="0.25">
      <c r="D40" s="3">
        <v>1.7</v>
      </c>
    </row>
    <row r="41" spans="4:4" x14ac:dyDescent="0.25">
      <c r="D41" s="3">
        <v>1.2</v>
      </c>
    </row>
    <row r="42" spans="4:4" x14ac:dyDescent="0.25">
      <c r="D42">
        <v>1.4</v>
      </c>
    </row>
    <row r="43" spans="4:4" x14ac:dyDescent="0.25">
      <c r="D43">
        <v>1.3</v>
      </c>
    </row>
    <row r="44" spans="4:4" x14ac:dyDescent="0.25">
      <c r="D44">
        <v>1.6</v>
      </c>
    </row>
    <row r="45" spans="4:4" x14ac:dyDescent="0.25">
      <c r="D45">
        <v>1.6</v>
      </c>
    </row>
    <row r="46" spans="4:4" x14ac:dyDescent="0.25">
      <c r="D46">
        <v>1.4</v>
      </c>
    </row>
    <row r="47" spans="4:4" x14ac:dyDescent="0.25">
      <c r="D47">
        <v>1.9</v>
      </c>
    </row>
    <row r="48" spans="4:4" x14ac:dyDescent="0.25">
      <c r="D48">
        <v>1.6</v>
      </c>
    </row>
    <row r="49" spans="4:4" x14ac:dyDescent="0.25">
      <c r="D49">
        <v>1.4</v>
      </c>
    </row>
    <row r="50" spans="4:4" x14ac:dyDescent="0.25">
      <c r="D50">
        <v>1.4</v>
      </c>
    </row>
    <row r="51" spans="4:4" x14ac:dyDescent="0.25">
      <c r="D51">
        <v>1.5</v>
      </c>
    </row>
    <row r="52" spans="4:4" x14ac:dyDescent="0.25">
      <c r="D52" s="3">
        <v>4.5</v>
      </c>
    </row>
    <row r="53" spans="4:4" x14ac:dyDescent="0.25">
      <c r="D53" s="3">
        <v>4.9000000000000004</v>
      </c>
    </row>
    <row r="54" spans="4:4" x14ac:dyDescent="0.25">
      <c r="D54" s="3">
        <v>5</v>
      </c>
    </row>
    <row r="55" spans="4:4" x14ac:dyDescent="0.25">
      <c r="D55" s="3">
        <v>5.0999999999999996</v>
      </c>
    </row>
    <row r="56" spans="4:4" x14ac:dyDescent="0.25">
      <c r="D56" s="3">
        <v>5.0999999999999996</v>
      </c>
    </row>
    <row r="57" spans="4:4" x14ac:dyDescent="0.25">
      <c r="D57" s="3">
        <v>5.0999999999999996</v>
      </c>
    </row>
    <row r="58" spans="4:4" x14ac:dyDescent="0.25">
      <c r="D58" s="3">
        <v>5.0999999999999996</v>
      </c>
    </row>
    <row r="59" spans="4:4" x14ac:dyDescent="0.25">
      <c r="D59" s="3">
        <v>5</v>
      </c>
    </row>
    <row r="60" spans="4:4" x14ac:dyDescent="0.25">
      <c r="D60" s="3">
        <v>4.8</v>
      </c>
    </row>
    <row r="61" spans="4:4" x14ac:dyDescent="0.25">
      <c r="D61" s="3">
        <v>4.9000000000000004</v>
      </c>
    </row>
    <row r="62" spans="4:4" x14ac:dyDescent="0.25">
      <c r="D62" s="3">
        <v>5.6</v>
      </c>
    </row>
    <row r="63" spans="4:4" x14ac:dyDescent="0.25">
      <c r="D63" s="3">
        <v>4.8</v>
      </c>
    </row>
    <row r="64" spans="4:4" x14ac:dyDescent="0.25">
      <c r="D64" s="3">
        <v>5.4</v>
      </c>
    </row>
    <row r="65" spans="4:4" x14ac:dyDescent="0.25">
      <c r="D65" s="3">
        <v>6</v>
      </c>
    </row>
    <row r="66" spans="4:4" x14ac:dyDescent="0.25">
      <c r="D66" s="3">
        <v>5.6</v>
      </c>
    </row>
    <row r="67" spans="4:4" x14ac:dyDescent="0.25">
      <c r="D67" s="3">
        <v>4.9000000000000004</v>
      </c>
    </row>
    <row r="68" spans="4:4" x14ac:dyDescent="0.25">
      <c r="D68" s="3">
        <v>5.0999999999999996</v>
      </c>
    </row>
    <row r="69" spans="4:4" x14ac:dyDescent="0.25">
      <c r="D69" s="3">
        <v>5.6</v>
      </c>
    </row>
    <row r="70" spans="4:4" x14ac:dyDescent="0.25">
      <c r="D70" s="3">
        <v>5</v>
      </c>
    </row>
    <row r="71" spans="4:4" x14ac:dyDescent="0.25">
      <c r="D71" s="3">
        <v>5.3</v>
      </c>
    </row>
    <row r="72" spans="4:4" x14ac:dyDescent="0.25">
      <c r="D72" s="3">
        <v>5.3</v>
      </c>
    </row>
    <row r="73" spans="4:4" x14ac:dyDescent="0.25">
      <c r="D73" s="3">
        <v>5.6</v>
      </c>
    </row>
    <row r="74" spans="4:4" x14ac:dyDescent="0.25">
      <c r="D74" s="3">
        <v>5.6</v>
      </c>
    </row>
    <row r="75" spans="4:4" x14ac:dyDescent="0.25">
      <c r="D75" s="3">
        <v>5.5</v>
      </c>
    </row>
    <row r="76" spans="4:4" x14ac:dyDescent="0.25">
      <c r="D76" s="3">
        <v>5.8</v>
      </c>
    </row>
    <row r="77" spans="4:4" x14ac:dyDescent="0.25">
      <c r="D77" s="3">
        <v>5.0999999999999996</v>
      </c>
    </row>
    <row r="78" spans="4:4" x14ac:dyDescent="0.25">
      <c r="D78" s="3">
        <v>5.5</v>
      </c>
    </row>
    <row r="79" spans="4:4" x14ac:dyDescent="0.25">
      <c r="D79" s="3">
        <v>5.2</v>
      </c>
    </row>
    <row r="80" spans="4:4" x14ac:dyDescent="0.25">
      <c r="D80" s="3">
        <v>5.8</v>
      </c>
    </row>
    <row r="81" spans="4:4" x14ac:dyDescent="0.25">
      <c r="D81" s="3">
        <v>5.7</v>
      </c>
    </row>
    <row r="82" spans="4:4" x14ac:dyDescent="0.25">
      <c r="D82" s="3">
        <v>5.6</v>
      </c>
    </row>
    <row r="83" spans="4:4" x14ac:dyDescent="0.25">
      <c r="D83" s="3">
        <v>5.7</v>
      </c>
    </row>
    <row r="84" spans="4:4" x14ac:dyDescent="0.25">
      <c r="D84" s="3">
        <v>5.2</v>
      </c>
    </row>
    <row r="85" spans="4:4" x14ac:dyDescent="0.25">
      <c r="D85" s="3">
        <v>5.5</v>
      </c>
    </row>
    <row r="86" spans="4:4" x14ac:dyDescent="0.25">
      <c r="D86" s="3">
        <v>5.9</v>
      </c>
    </row>
    <row r="87" spans="4:4" x14ac:dyDescent="0.25">
      <c r="D87" s="3">
        <v>5.7</v>
      </c>
    </row>
    <row r="88" spans="4:4" x14ac:dyDescent="0.25">
      <c r="D88" s="3">
        <v>5.4</v>
      </c>
    </row>
    <row r="89" spans="4:4" x14ac:dyDescent="0.25">
      <c r="D89" s="3">
        <v>5.0999999999999996</v>
      </c>
    </row>
    <row r="90" spans="4:4" x14ac:dyDescent="0.25">
      <c r="D90" s="3">
        <v>6.1</v>
      </c>
    </row>
    <row r="91" spans="4:4" x14ac:dyDescent="0.25">
      <c r="D91" s="3">
        <v>6.4</v>
      </c>
    </row>
    <row r="92" spans="4:4" x14ac:dyDescent="0.25">
      <c r="D92">
        <v>5.9</v>
      </c>
    </row>
    <row r="93" spans="4:4" x14ac:dyDescent="0.25">
      <c r="D93">
        <v>6.1</v>
      </c>
    </row>
    <row r="94" spans="4:4" x14ac:dyDescent="0.25">
      <c r="D94">
        <v>6</v>
      </c>
    </row>
    <row r="95" spans="4:4" x14ac:dyDescent="0.25">
      <c r="D95">
        <v>5.8</v>
      </c>
    </row>
    <row r="96" spans="4:4" x14ac:dyDescent="0.25">
      <c r="D96">
        <v>6.3</v>
      </c>
    </row>
    <row r="97" spans="4:4" x14ac:dyDescent="0.25">
      <c r="D97">
        <v>6.1</v>
      </c>
    </row>
    <row r="98" spans="4:4" x14ac:dyDescent="0.25">
      <c r="D98">
        <v>6.6</v>
      </c>
    </row>
    <row r="99" spans="4:4" x14ac:dyDescent="0.25">
      <c r="D99">
        <v>6.7</v>
      </c>
    </row>
    <row r="100" spans="4:4" x14ac:dyDescent="0.25">
      <c r="D100">
        <v>6.9</v>
      </c>
    </row>
    <row r="101" spans="4:4" x14ac:dyDescent="0.25">
      <c r="D101">
        <v>6.7</v>
      </c>
    </row>
    <row r="102" spans="4:4" x14ac:dyDescent="0.25">
      <c r="D102">
        <v>4</v>
      </c>
    </row>
    <row r="103" spans="4:4" x14ac:dyDescent="0.25">
      <c r="D103">
        <v>3.8</v>
      </c>
    </row>
    <row r="104" spans="4:4" x14ac:dyDescent="0.25">
      <c r="D104">
        <v>3.7</v>
      </c>
    </row>
    <row r="105" spans="4:4" x14ac:dyDescent="0.25">
      <c r="D105">
        <v>4</v>
      </c>
    </row>
    <row r="106" spans="4:4" x14ac:dyDescent="0.25">
      <c r="D106">
        <v>4.4000000000000004</v>
      </c>
    </row>
    <row r="107" spans="4:4" x14ac:dyDescent="0.25">
      <c r="D107">
        <v>3.6</v>
      </c>
    </row>
    <row r="108" spans="4:4" x14ac:dyDescent="0.25">
      <c r="D108">
        <v>4.5</v>
      </c>
    </row>
    <row r="109" spans="4:4" x14ac:dyDescent="0.25">
      <c r="D109">
        <v>3.9</v>
      </c>
    </row>
    <row r="110" spans="4:4" x14ac:dyDescent="0.25">
      <c r="D110">
        <v>4.0999999999999996</v>
      </c>
    </row>
    <row r="111" spans="4:4" x14ac:dyDescent="0.25">
      <c r="D111">
        <v>4.2</v>
      </c>
    </row>
    <row r="112" spans="4:4" x14ac:dyDescent="0.25">
      <c r="D112" s="3">
        <v>4.8</v>
      </c>
    </row>
    <row r="113" spans="4:4" x14ac:dyDescent="0.25">
      <c r="D113" s="3">
        <v>4.5</v>
      </c>
    </row>
    <row r="114" spans="4:4" x14ac:dyDescent="0.25">
      <c r="D114" s="3">
        <v>3.9</v>
      </c>
    </row>
    <row r="115" spans="4:4" x14ac:dyDescent="0.25">
      <c r="D115" s="3">
        <v>3</v>
      </c>
    </row>
    <row r="116" spans="4:4" x14ac:dyDescent="0.25">
      <c r="D116" s="3">
        <v>3.5</v>
      </c>
    </row>
    <row r="117" spans="4:4" x14ac:dyDescent="0.25">
      <c r="D117" s="3">
        <v>3.3</v>
      </c>
    </row>
    <row r="118" spans="4:4" x14ac:dyDescent="0.25">
      <c r="D118" s="3">
        <v>3.3</v>
      </c>
    </row>
    <row r="119" spans="4:4" x14ac:dyDescent="0.25">
      <c r="D119" s="3">
        <v>4.5</v>
      </c>
    </row>
    <row r="120" spans="4:4" x14ac:dyDescent="0.25">
      <c r="D120" s="3">
        <v>3.5</v>
      </c>
    </row>
    <row r="121" spans="4:4" x14ac:dyDescent="0.25">
      <c r="D121" s="3">
        <v>4.2</v>
      </c>
    </row>
    <row r="122" spans="4:4" x14ac:dyDescent="0.25">
      <c r="D122" s="3">
        <v>4.2</v>
      </c>
    </row>
    <row r="123" spans="4:4" x14ac:dyDescent="0.25">
      <c r="D123" s="3">
        <v>4.0999999999999996</v>
      </c>
    </row>
    <row r="124" spans="4:4" x14ac:dyDescent="0.25">
      <c r="D124" s="3">
        <v>4.0999999999999996</v>
      </c>
    </row>
    <row r="125" spans="4:4" x14ac:dyDescent="0.25">
      <c r="D125" s="3">
        <v>3.9</v>
      </c>
    </row>
    <row r="126" spans="4:4" x14ac:dyDescent="0.25">
      <c r="D126" s="3">
        <v>4</v>
      </c>
    </row>
    <row r="127" spans="4:4" x14ac:dyDescent="0.25">
      <c r="D127" s="3">
        <v>4.2</v>
      </c>
    </row>
    <row r="128" spans="4:4" x14ac:dyDescent="0.25">
      <c r="D128" s="3">
        <v>4.8</v>
      </c>
    </row>
    <row r="129" spans="4:4" x14ac:dyDescent="0.25">
      <c r="D129" s="3">
        <v>4</v>
      </c>
    </row>
    <row r="130" spans="4:4" x14ac:dyDescent="0.25">
      <c r="D130" s="3">
        <v>4.5</v>
      </c>
    </row>
    <row r="131" spans="4:4" x14ac:dyDescent="0.25">
      <c r="D131" s="3">
        <v>5.0999999999999996</v>
      </c>
    </row>
    <row r="132" spans="4:4" x14ac:dyDescent="0.25">
      <c r="D132" s="3">
        <v>4.5</v>
      </c>
    </row>
    <row r="133" spans="4:4" x14ac:dyDescent="0.25">
      <c r="D133" s="3">
        <v>4.7</v>
      </c>
    </row>
    <row r="134" spans="4:4" x14ac:dyDescent="0.25">
      <c r="D134" s="3">
        <v>4</v>
      </c>
    </row>
    <row r="135" spans="4:4" x14ac:dyDescent="0.25">
      <c r="D135" s="3">
        <v>4.7</v>
      </c>
    </row>
    <row r="136" spans="4:4" x14ac:dyDescent="0.25">
      <c r="D136" s="3">
        <v>4.5999999999999996</v>
      </c>
    </row>
    <row r="137" spans="4:4" x14ac:dyDescent="0.25">
      <c r="D137" s="3">
        <v>4.5</v>
      </c>
    </row>
    <row r="138" spans="4:4" x14ac:dyDescent="0.25">
      <c r="D138" s="3">
        <v>4.3</v>
      </c>
    </row>
    <row r="139" spans="4:4" x14ac:dyDescent="0.25">
      <c r="D139" s="3">
        <v>4.7</v>
      </c>
    </row>
    <row r="140" spans="4:4" x14ac:dyDescent="0.25">
      <c r="D140" s="3">
        <v>4.9000000000000004</v>
      </c>
    </row>
    <row r="141" spans="4:4" x14ac:dyDescent="0.25">
      <c r="D141" s="3">
        <v>4.4000000000000004</v>
      </c>
    </row>
    <row r="142" spans="4:4" x14ac:dyDescent="0.25">
      <c r="D142" s="3">
        <v>4.5</v>
      </c>
    </row>
    <row r="143" spans="4:4" x14ac:dyDescent="0.25">
      <c r="D143" s="3">
        <v>4.3</v>
      </c>
    </row>
    <row r="144" spans="4:4" x14ac:dyDescent="0.25">
      <c r="D144" s="3">
        <v>4.5999999999999996</v>
      </c>
    </row>
    <row r="145" spans="4:4" x14ac:dyDescent="0.25">
      <c r="D145" s="3">
        <v>4.5999999999999996</v>
      </c>
    </row>
    <row r="146" spans="4:4" x14ac:dyDescent="0.25">
      <c r="D146" s="3">
        <v>4.4000000000000004</v>
      </c>
    </row>
    <row r="147" spans="4:4" x14ac:dyDescent="0.25">
      <c r="D147" s="3">
        <v>4.4000000000000004</v>
      </c>
    </row>
    <row r="148" spans="4:4" x14ac:dyDescent="0.25">
      <c r="D148" s="3">
        <v>5</v>
      </c>
    </row>
    <row r="149" spans="4:4" x14ac:dyDescent="0.25">
      <c r="D149" s="3">
        <v>4.7</v>
      </c>
    </row>
    <row r="150" spans="4:4" x14ac:dyDescent="0.25">
      <c r="D150" s="3">
        <v>4.9000000000000004</v>
      </c>
    </row>
    <row r="151" spans="4:4" x14ac:dyDescent="0.25">
      <c r="D151" s="3">
        <v>4.7</v>
      </c>
    </row>
  </sheetData>
  <sortState ref="G4:G10">
    <sortCondition ref="G4"/>
  </sortState>
  <pageMargins left="0.7" right="0.7" top="0.75" bottom="0.75" header="0.3" footer="0.3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1"/>
  <sheetViews>
    <sheetView workbookViewId="0">
      <selection sqref="A1:A1048576"/>
    </sheetView>
  </sheetViews>
  <sheetFormatPr defaultRowHeight="15" x14ac:dyDescent="0.25"/>
  <cols>
    <col min="1" max="1" width="9.140625" style="3"/>
    <col min="3" max="3" width="13.140625" bestFit="1" customWidth="1"/>
    <col min="4" max="4" width="10.28515625" customWidth="1"/>
    <col min="5" max="5" width="8.140625" customWidth="1"/>
  </cols>
  <sheetData>
    <row r="1" spans="1:13" x14ac:dyDescent="0.25">
      <c r="A1" s="3" t="s">
        <v>3</v>
      </c>
      <c r="C1" s="9" t="s">
        <v>54</v>
      </c>
      <c r="D1" t="s">
        <v>56</v>
      </c>
      <c r="E1" t="s">
        <v>57</v>
      </c>
      <c r="G1" t="s">
        <v>88</v>
      </c>
      <c r="I1" s="24"/>
      <c r="J1" s="20"/>
      <c r="L1" s="24"/>
      <c r="M1" s="20"/>
    </row>
    <row r="2" spans="1:13" x14ac:dyDescent="0.25">
      <c r="A2" s="3">
        <v>0.1</v>
      </c>
      <c r="C2" s="10" t="s">
        <v>96</v>
      </c>
      <c r="D2" s="12">
        <v>48</v>
      </c>
      <c r="E2" s="14">
        <v>0.32</v>
      </c>
      <c r="G2">
        <v>0</v>
      </c>
      <c r="I2" s="22"/>
      <c r="J2" s="17"/>
      <c r="L2" s="22"/>
      <c r="M2" s="17"/>
    </row>
    <row r="3" spans="1:13" x14ac:dyDescent="0.25">
      <c r="A3" s="3">
        <v>0.1</v>
      </c>
      <c r="C3" s="10" t="s">
        <v>97</v>
      </c>
      <c r="D3" s="12">
        <v>2</v>
      </c>
      <c r="E3" s="14">
        <v>1.3333333333333334E-2</v>
      </c>
      <c r="G3">
        <v>0.5</v>
      </c>
      <c r="I3" s="22"/>
      <c r="J3" s="17"/>
      <c r="L3" s="22"/>
      <c r="M3" s="17"/>
    </row>
    <row r="4" spans="1:13" x14ac:dyDescent="0.25">
      <c r="A4" s="3">
        <v>0.1</v>
      </c>
      <c r="C4" s="10" t="s">
        <v>80</v>
      </c>
      <c r="D4" s="12">
        <v>36</v>
      </c>
      <c r="E4" s="14">
        <v>0.24</v>
      </c>
      <c r="G4">
        <v>1</v>
      </c>
      <c r="I4" s="22"/>
      <c r="J4" s="17"/>
      <c r="L4" s="22"/>
      <c r="M4" s="17"/>
    </row>
    <row r="5" spans="1:13" x14ac:dyDescent="0.25">
      <c r="A5" s="3">
        <v>0.1</v>
      </c>
      <c r="C5" s="10" t="s">
        <v>81</v>
      </c>
      <c r="D5" s="12">
        <v>35</v>
      </c>
      <c r="E5" s="14">
        <v>0.23333333333333334</v>
      </c>
      <c r="G5">
        <v>1.5</v>
      </c>
      <c r="I5" s="22"/>
      <c r="J5" s="17"/>
      <c r="L5" s="22"/>
      <c r="M5" s="17"/>
    </row>
    <row r="6" spans="1:13" x14ac:dyDescent="0.25">
      <c r="A6">
        <v>0.1</v>
      </c>
      <c r="C6" s="10" t="s">
        <v>69</v>
      </c>
      <c r="D6" s="12">
        <v>29</v>
      </c>
      <c r="E6" s="14">
        <v>0.19333333333333333</v>
      </c>
      <c r="G6">
        <v>2</v>
      </c>
      <c r="I6" s="22"/>
      <c r="J6" s="17"/>
      <c r="L6" s="22"/>
      <c r="M6" s="17"/>
    </row>
    <row r="7" spans="1:13" x14ac:dyDescent="0.25">
      <c r="A7">
        <v>0.1</v>
      </c>
      <c r="C7" s="10" t="s">
        <v>55</v>
      </c>
      <c r="D7" s="12">
        <v>150</v>
      </c>
      <c r="E7" s="14">
        <v>1</v>
      </c>
      <c r="G7">
        <v>2.5</v>
      </c>
      <c r="I7" s="22"/>
      <c r="J7" s="17"/>
      <c r="L7" s="22"/>
      <c r="M7" s="17"/>
    </row>
    <row r="8" spans="1:13" x14ac:dyDescent="0.25">
      <c r="A8" s="3">
        <v>0.2</v>
      </c>
      <c r="I8" s="22"/>
      <c r="J8" s="17"/>
      <c r="L8" s="22"/>
      <c r="M8" s="17"/>
    </row>
    <row r="9" spans="1:13" x14ac:dyDescent="0.25">
      <c r="A9" s="3">
        <v>0.2</v>
      </c>
    </row>
    <row r="10" spans="1:13" x14ac:dyDescent="0.25">
      <c r="A10" s="3">
        <v>0.2</v>
      </c>
      <c r="C10" s="10" t="s">
        <v>89</v>
      </c>
      <c r="E10">
        <f>MIN(A2:A151)</f>
        <v>0.1</v>
      </c>
      <c r="G10" t="s">
        <v>94</v>
      </c>
      <c r="H10" t="s">
        <v>95</v>
      </c>
    </row>
    <row r="11" spans="1:13" ht="15.75" thickBot="1" x14ac:dyDescent="0.3">
      <c r="A11" s="3">
        <v>0.2</v>
      </c>
      <c r="C11" s="10" t="s">
        <v>90</v>
      </c>
      <c r="E11">
        <f>MAX(A2:A151)</f>
        <v>2.5</v>
      </c>
      <c r="G11">
        <v>1</v>
      </c>
      <c r="H11">
        <f>E10-E14/2+E14</f>
        <v>0.2</v>
      </c>
    </row>
    <row r="12" spans="1:13" x14ac:dyDescent="0.25">
      <c r="A12" s="3">
        <v>0.2</v>
      </c>
      <c r="C12" s="10" t="s">
        <v>91</v>
      </c>
      <c r="E12">
        <f>E11-E10</f>
        <v>2.4</v>
      </c>
      <c r="G12">
        <v>2</v>
      </c>
      <c r="H12">
        <f>H11+$E$14</f>
        <v>0.4</v>
      </c>
      <c r="J12" t="s">
        <v>88</v>
      </c>
      <c r="K12" s="21" t="s">
        <v>88</v>
      </c>
      <c r="L12" s="19" t="s">
        <v>56</v>
      </c>
    </row>
    <row r="13" spans="1:13" x14ac:dyDescent="0.25">
      <c r="A13" s="3">
        <v>0.2</v>
      </c>
      <c r="C13" s="10" t="s">
        <v>92</v>
      </c>
      <c r="E13">
        <f>SQRT(150)</f>
        <v>12.24744871391589</v>
      </c>
      <c r="G13">
        <v>3</v>
      </c>
      <c r="H13">
        <f t="shared" ref="H13:H22" si="0">H12+$E$14</f>
        <v>0.60000000000000009</v>
      </c>
      <c r="J13">
        <v>0</v>
      </c>
      <c r="K13" s="22" t="s">
        <v>101</v>
      </c>
      <c r="L13" s="17">
        <v>0</v>
      </c>
    </row>
    <row r="14" spans="1:13" x14ac:dyDescent="0.25">
      <c r="A14" s="3">
        <v>0.2</v>
      </c>
      <c r="C14" s="10" t="s">
        <v>93</v>
      </c>
      <c r="E14">
        <f>ROUND(E12/E13,1)</f>
        <v>0.2</v>
      </c>
      <c r="G14">
        <v>4</v>
      </c>
      <c r="H14">
        <f t="shared" si="0"/>
        <v>0.8</v>
      </c>
      <c r="J14">
        <v>0.5</v>
      </c>
      <c r="K14" s="22" t="s">
        <v>102</v>
      </c>
      <c r="L14" s="17">
        <v>49</v>
      </c>
    </row>
    <row r="15" spans="1:13" x14ac:dyDescent="0.25">
      <c r="A15" s="3">
        <v>0.2</v>
      </c>
      <c r="G15">
        <v>5</v>
      </c>
      <c r="H15">
        <f t="shared" si="0"/>
        <v>1</v>
      </c>
      <c r="J15">
        <v>1</v>
      </c>
      <c r="K15" s="22" t="s">
        <v>98</v>
      </c>
      <c r="L15" s="17">
        <v>8</v>
      </c>
    </row>
    <row r="16" spans="1:13" x14ac:dyDescent="0.25">
      <c r="A16" s="3">
        <v>0.2</v>
      </c>
      <c r="G16">
        <v>6</v>
      </c>
      <c r="H16">
        <f t="shared" si="0"/>
        <v>1.2</v>
      </c>
      <c r="J16">
        <v>1.5</v>
      </c>
      <c r="K16" s="22" t="s">
        <v>99</v>
      </c>
      <c r="L16" s="17">
        <v>41</v>
      </c>
    </row>
    <row r="17" spans="1:12" x14ac:dyDescent="0.25">
      <c r="A17" s="3">
        <v>0.2</v>
      </c>
      <c r="G17">
        <v>7</v>
      </c>
      <c r="H17">
        <f t="shared" si="0"/>
        <v>1.4</v>
      </c>
      <c r="J17">
        <v>2</v>
      </c>
      <c r="K17" s="22" t="s">
        <v>100</v>
      </c>
      <c r="L17" s="17">
        <v>29</v>
      </c>
    </row>
    <row r="18" spans="1:12" x14ac:dyDescent="0.25">
      <c r="A18" s="3">
        <v>0.2</v>
      </c>
      <c r="G18">
        <v>8</v>
      </c>
      <c r="H18">
        <f t="shared" si="0"/>
        <v>1.5999999999999999</v>
      </c>
      <c r="J18">
        <v>2.5</v>
      </c>
      <c r="K18" s="22" t="s">
        <v>75</v>
      </c>
      <c r="L18" s="17">
        <v>23</v>
      </c>
    </row>
    <row r="19" spans="1:12" ht="15.75" thickBot="1" x14ac:dyDescent="0.3">
      <c r="A19" s="3">
        <v>0.2</v>
      </c>
      <c r="C19" s="20"/>
      <c r="D19" s="20"/>
      <c r="G19">
        <v>9</v>
      </c>
      <c r="H19">
        <f t="shared" si="0"/>
        <v>1.7999999999999998</v>
      </c>
      <c r="K19" s="23" t="s">
        <v>59</v>
      </c>
      <c r="L19" s="18">
        <v>0</v>
      </c>
    </row>
    <row r="20" spans="1:12" x14ac:dyDescent="0.25">
      <c r="A20" s="3">
        <v>0.2</v>
      </c>
      <c r="C20" s="16"/>
      <c r="D20" s="17"/>
      <c r="G20">
        <v>10</v>
      </c>
      <c r="H20">
        <f t="shared" si="0"/>
        <v>1.9999999999999998</v>
      </c>
    </row>
    <row r="21" spans="1:12" x14ac:dyDescent="0.25">
      <c r="A21" s="3">
        <v>0.2</v>
      </c>
      <c r="C21" s="16"/>
      <c r="D21" s="17"/>
      <c r="G21">
        <v>11</v>
      </c>
      <c r="H21">
        <f t="shared" si="0"/>
        <v>2.1999999999999997</v>
      </c>
    </row>
    <row r="22" spans="1:12" x14ac:dyDescent="0.25">
      <c r="A22" s="3">
        <v>0.2</v>
      </c>
      <c r="C22" s="16"/>
      <c r="D22" s="17"/>
      <c r="G22">
        <v>12</v>
      </c>
      <c r="H22">
        <f t="shared" si="0"/>
        <v>2.4</v>
      </c>
    </row>
    <row r="23" spans="1:12" x14ac:dyDescent="0.25">
      <c r="A23" s="3">
        <v>0.2</v>
      </c>
      <c r="C23" s="16"/>
      <c r="D23" s="17"/>
      <c r="G23">
        <v>13</v>
      </c>
      <c r="H23">
        <f t="shared" ref="H23" si="1">H22+$E$14</f>
        <v>2.6</v>
      </c>
    </row>
    <row r="24" spans="1:12" x14ac:dyDescent="0.25">
      <c r="A24" s="3">
        <v>0.2</v>
      </c>
      <c r="C24" s="16"/>
      <c r="D24" s="17"/>
    </row>
    <row r="25" spans="1:12" x14ac:dyDescent="0.25">
      <c r="A25" s="3">
        <v>0.2</v>
      </c>
      <c r="C25" s="16"/>
      <c r="D25" s="17"/>
    </row>
    <row r="26" spans="1:12" x14ac:dyDescent="0.25">
      <c r="A26" s="3">
        <v>0.2</v>
      </c>
      <c r="C26" s="16"/>
      <c r="D26" s="17"/>
    </row>
    <row r="27" spans="1:12" x14ac:dyDescent="0.25">
      <c r="A27" s="3">
        <v>0.2</v>
      </c>
      <c r="C27" s="16"/>
      <c r="D27" s="17"/>
    </row>
    <row r="28" spans="1:12" x14ac:dyDescent="0.25">
      <c r="A28" s="3">
        <v>0.2</v>
      </c>
      <c r="C28" s="16"/>
      <c r="D28" s="17"/>
    </row>
    <row r="29" spans="1:12" x14ac:dyDescent="0.25">
      <c r="A29">
        <v>0.2</v>
      </c>
      <c r="C29" s="16"/>
      <c r="D29" s="17"/>
    </row>
    <row r="30" spans="1:12" x14ac:dyDescent="0.25">
      <c r="A30">
        <v>0.2</v>
      </c>
      <c r="C30" s="16"/>
      <c r="D30" s="17"/>
    </row>
    <row r="31" spans="1:12" x14ac:dyDescent="0.25">
      <c r="A31">
        <v>0.2</v>
      </c>
      <c r="C31" s="16"/>
      <c r="D31" s="17"/>
    </row>
    <row r="32" spans="1:12" x14ac:dyDescent="0.25">
      <c r="A32">
        <v>0.2</v>
      </c>
      <c r="C32" s="16"/>
      <c r="D32" s="17"/>
    </row>
    <row r="33" spans="1:4" x14ac:dyDescent="0.25">
      <c r="A33">
        <v>0.2</v>
      </c>
      <c r="C33" s="17"/>
      <c r="D33" s="17"/>
    </row>
    <row r="34" spans="1:4" x14ac:dyDescent="0.25">
      <c r="A34">
        <v>0.2</v>
      </c>
      <c r="C34" s="17"/>
      <c r="D34" s="17"/>
    </row>
    <row r="35" spans="1:4" x14ac:dyDescent="0.25">
      <c r="A35">
        <v>0.2</v>
      </c>
    </row>
    <row r="36" spans="1:4" x14ac:dyDescent="0.25">
      <c r="A36" s="3">
        <v>0.3</v>
      </c>
    </row>
    <row r="37" spans="1:4" x14ac:dyDescent="0.25">
      <c r="A37" s="3">
        <v>0.3</v>
      </c>
    </row>
    <row r="38" spans="1:4" x14ac:dyDescent="0.25">
      <c r="A38" s="3">
        <v>0.3</v>
      </c>
    </row>
    <row r="39" spans="1:4" x14ac:dyDescent="0.25">
      <c r="A39" s="3">
        <v>0.3</v>
      </c>
    </row>
    <row r="40" spans="1:4" x14ac:dyDescent="0.25">
      <c r="A40" s="3">
        <v>0.3</v>
      </c>
    </row>
    <row r="41" spans="1:4" x14ac:dyDescent="0.25">
      <c r="A41" s="3">
        <v>0.3</v>
      </c>
    </row>
    <row r="42" spans="1:4" x14ac:dyDescent="0.25">
      <c r="A42">
        <v>0.3</v>
      </c>
    </row>
    <row r="43" spans="1:4" x14ac:dyDescent="0.25">
      <c r="A43" s="3">
        <v>0.4</v>
      </c>
    </row>
    <row r="44" spans="1:4" x14ac:dyDescent="0.25">
      <c r="A44" s="3">
        <v>0.4</v>
      </c>
    </row>
    <row r="45" spans="1:4" x14ac:dyDescent="0.25">
      <c r="A45" s="3">
        <v>0.4</v>
      </c>
    </row>
    <row r="46" spans="1:4" x14ac:dyDescent="0.25">
      <c r="A46" s="3">
        <v>0.4</v>
      </c>
    </row>
    <row r="47" spans="1:4" x14ac:dyDescent="0.25">
      <c r="A47" s="3">
        <v>0.4</v>
      </c>
    </row>
    <row r="48" spans="1:4" x14ac:dyDescent="0.25">
      <c r="A48" s="3">
        <v>0.4</v>
      </c>
    </row>
    <row r="49" spans="1:1" x14ac:dyDescent="0.25">
      <c r="A49" s="3">
        <v>0.4</v>
      </c>
    </row>
    <row r="50" spans="1:1" x14ac:dyDescent="0.25">
      <c r="A50" s="3">
        <v>0.5</v>
      </c>
    </row>
    <row r="51" spans="1:1" x14ac:dyDescent="0.25">
      <c r="A51" s="3">
        <v>0.6</v>
      </c>
    </row>
    <row r="52" spans="1:1" x14ac:dyDescent="0.25">
      <c r="A52">
        <v>1</v>
      </c>
    </row>
    <row r="53" spans="1:1" x14ac:dyDescent="0.25">
      <c r="A53" s="3">
        <v>1</v>
      </c>
    </row>
    <row r="54" spans="1:1" x14ac:dyDescent="0.25">
      <c r="A54" s="3">
        <v>1</v>
      </c>
    </row>
    <row r="55" spans="1:1" x14ac:dyDescent="0.25">
      <c r="A55" s="3">
        <v>1</v>
      </c>
    </row>
    <row r="56" spans="1:1" x14ac:dyDescent="0.25">
      <c r="A56" s="3">
        <v>1</v>
      </c>
    </row>
    <row r="57" spans="1:1" x14ac:dyDescent="0.25">
      <c r="A57" s="3">
        <v>1</v>
      </c>
    </row>
    <row r="58" spans="1:1" x14ac:dyDescent="0.25">
      <c r="A58" s="3">
        <v>1</v>
      </c>
    </row>
    <row r="59" spans="1:1" x14ac:dyDescent="0.25">
      <c r="A59">
        <v>1.1000000000000001</v>
      </c>
    </row>
    <row r="60" spans="1:1" x14ac:dyDescent="0.25">
      <c r="A60">
        <v>1.1000000000000001</v>
      </c>
    </row>
    <row r="61" spans="1:1" x14ac:dyDescent="0.25">
      <c r="A61" s="3">
        <v>1.1000000000000001</v>
      </c>
    </row>
    <row r="62" spans="1:1" x14ac:dyDescent="0.25">
      <c r="A62">
        <v>1.2</v>
      </c>
    </row>
    <row r="63" spans="1:1" x14ac:dyDescent="0.25">
      <c r="A63" s="3">
        <v>1.2</v>
      </c>
    </row>
    <row r="64" spans="1:1" x14ac:dyDescent="0.25">
      <c r="A64" s="3">
        <v>1.2</v>
      </c>
    </row>
    <row r="65" spans="1:1" x14ac:dyDescent="0.25">
      <c r="A65" s="3">
        <v>1.2</v>
      </c>
    </row>
    <row r="66" spans="1:1" x14ac:dyDescent="0.25">
      <c r="A66" s="3">
        <v>1.2</v>
      </c>
    </row>
    <row r="67" spans="1:1" x14ac:dyDescent="0.25">
      <c r="A67">
        <v>1.3</v>
      </c>
    </row>
    <row r="68" spans="1:1" x14ac:dyDescent="0.25">
      <c r="A68">
        <v>1.3</v>
      </c>
    </row>
    <row r="69" spans="1:1" x14ac:dyDescent="0.25">
      <c r="A69">
        <v>1.3</v>
      </c>
    </row>
    <row r="70" spans="1:1" x14ac:dyDescent="0.25">
      <c r="A70">
        <v>1.3</v>
      </c>
    </row>
    <row r="71" spans="1:1" x14ac:dyDescent="0.25">
      <c r="A71">
        <v>1.3</v>
      </c>
    </row>
    <row r="72" spans="1:1" x14ac:dyDescent="0.25">
      <c r="A72" s="3">
        <v>1.3</v>
      </c>
    </row>
    <row r="73" spans="1:1" x14ac:dyDescent="0.25">
      <c r="A73" s="3">
        <v>1.3</v>
      </c>
    </row>
    <row r="74" spans="1:1" x14ac:dyDescent="0.25">
      <c r="A74" s="3">
        <v>1.3</v>
      </c>
    </row>
    <row r="75" spans="1:1" x14ac:dyDescent="0.25">
      <c r="A75" s="3">
        <v>1.3</v>
      </c>
    </row>
    <row r="76" spans="1:1" x14ac:dyDescent="0.25">
      <c r="A76" s="3">
        <v>1.3</v>
      </c>
    </row>
    <row r="77" spans="1:1" x14ac:dyDescent="0.25">
      <c r="A77" s="3">
        <v>1.3</v>
      </c>
    </row>
    <row r="78" spans="1:1" x14ac:dyDescent="0.25">
      <c r="A78" s="3">
        <v>1.3</v>
      </c>
    </row>
    <row r="79" spans="1:1" x14ac:dyDescent="0.25">
      <c r="A79" s="3">
        <v>1.3</v>
      </c>
    </row>
    <row r="80" spans="1:1" x14ac:dyDescent="0.25">
      <c r="A80" s="3">
        <v>1.4</v>
      </c>
    </row>
    <row r="81" spans="1:1" x14ac:dyDescent="0.25">
      <c r="A81" s="3">
        <v>1.4</v>
      </c>
    </row>
    <row r="82" spans="1:1" x14ac:dyDescent="0.25">
      <c r="A82" s="3">
        <v>1.4</v>
      </c>
    </row>
    <row r="83" spans="1:1" x14ac:dyDescent="0.25">
      <c r="A83" s="3">
        <v>1.4</v>
      </c>
    </row>
    <row r="84" spans="1:1" x14ac:dyDescent="0.25">
      <c r="A84" s="3">
        <v>1.4</v>
      </c>
    </row>
    <row r="85" spans="1:1" x14ac:dyDescent="0.25">
      <c r="A85" s="3">
        <v>1.4</v>
      </c>
    </row>
    <row r="86" spans="1:1" x14ac:dyDescent="0.25">
      <c r="A86" s="3">
        <v>1.4</v>
      </c>
    </row>
    <row r="87" spans="1:1" x14ac:dyDescent="0.25">
      <c r="A87" s="3">
        <v>1.4</v>
      </c>
    </row>
    <row r="88" spans="1:1" x14ac:dyDescent="0.25">
      <c r="A88" s="3">
        <v>1.5</v>
      </c>
    </row>
    <row r="89" spans="1:1" x14ac:dyDescent="0.25">
      <c r="A89" s="3">
        <v>1.5</v>
      </c>
    </row>
    <row r="90" spans="1:1" x14ac:dyDescent="0.25">
      <c r="A90">
        <v>1.5</v>
      </c>
    </row>
    <row r="91" spans="1:1" x14ac:dyDescent="0.25">
      <c r="A91" s="3">
        <v>1.5</v>
      </c>
    </row>
    <row r="92" spans="1:1" x14ac:dyDescent="0.25">
      <c r="A92" s="3">
        <v>1.5</v>
      </c>
    </row>
    <row r="93" spans="1:1" x14ac:dyDescent="0.25">
      <c r="A93" s="3">
        <v>1.5</v>
      </c>
    </row>
    <row r="94" spans="1:1" x14ac:dyDescent="0.25">
      <c r="A94" s="3">
        <v>1.5</v>
      </c>
    </row>
    <row r="95" spans="1:1" x14ac:dyDescent="0.25">
      <c r="A95" s="3">
        <v>1.5</v>
      </c>
    </row>
    <row r="96" spans="1:1" x14ac:dyDescent="0.25">
      <c r="A96" s="3">
        <v>1.5</v>
      </c>
    </row>
    <row r="97" spans="1:1" x14ac:dyDescent="0.25">
      <c r="A97" s="3">
        <v>1.5</v>
      </c>
    </row>
    <row r="98" spans="1:1" x14ac:dyDescent="0.25">
      <c r="A98" s="3">
        <v>1.5</v>
      </c>
    </row>
    <row r="99" spans="1:1" x14ac:dyDescent="0.25">
      <c r="A99" s="3">
        <v>1.5</v>
      </c>
    </row>
    <row r="100" spans="1:1" x14ac:dyDescent="0.25">
      <c r="A100">
        <v>1.6</v>
      </c>
    </row>
    <row r="101" spans="1:1" x14ac:dyDescent="0.25">
      <c r="A101" s="3">
        <v>1.6</v>
      </c>
    </row>
    <row r="102" spans="1:1" x14ac:dyDescent="0.25">
      <c r="A102" s="3">
        <v>1.6</v>
      </c>
    </row>
    <row r="103" spans="1:1" x14ac:dyDescent="0.25">
      <c r="A103" s="3">
        <v>1.6</v>
      </c>
    </row>
    <row r="104" spans="1:1" x14ac:dyDescent="0.25">
      <c r="A104" s="3">
        <v>1.7</v>
      </c>
    </row>
    <row r="105" spans="1:1" x14ac:dyDescent="0.25">
      <c r="A105" s="3">
        <v>1.7</v>
      </c>
    </row>
    <row r="106" spans="1:1" x14ac:dyDescent="0.25">
      <c r="A106" s="3">
        <v>1.8</v>
      </c>
    </row>
    <row r="107" spans="1:1" x14ac:dyDescent="0.25">
      <c r="A107" s="3">
        <v>1.8</v>
      </c>
    </row>
    <row r="108" spans="1:1" x14ac:dyDescent="0.25">
      <c r="A108" s="3">
        <v>1.8</v>
      </c>
    </row>
    <row r="109" spans="1:1" x14ac:dyDescent="0.25">
      <c r="A109" s="3">
        <v>1.8</v>
      </c>
    </row>
    <row r="110" spans="1:1" x14ac:dyDescent="0.25">
      <c r="A110" s="3">
        <v>1.8</v>
      </c>
    </row>
    <row r="111" spans="1:1" x14ac:dyDescent="0.25">
      <c r="A111" s="3">
        <v>1.8</v>
      </c>
    </row>
    <row r="112" spans="1:1" x14ac:dyDescent="0.25">
      <c r="A112" s="3">
        <v>1.8</v>
      </c>
    </row>
    <row r="113" spans="1:1" x14ac:dyDescent="0.25">
      <c r="A113" s="3">
        <v>1.8</v>
      </c>
    </row>
    <row r="114" spans="1:1" x14ac:dyDescent="0.25">
      <c r="A114" s="3">
        <v>1.8</v>
      </c>
    </row>
    <row r="115" spans="1:1" x14ac:dyDescent="0.25">
      <c r="A115">
        <v>1.8</v>
      </c>
    </row>
    <row r="116" spans="1:1" x14ac:dyDescent="0.25">
      <c r="A116">
        <v>1.8</v>
      </c>
    </row>
    <row r="117" spans="1:1" x14ac:dyDescent="0.25">
      <c r="A117" s="3">
        <v>1.8</v>
      </c>
    </row>
    <row r="118" spans="1:1" x14ac:dyDescent="0.25">
      <c r="A118" s="3">
        <v>1.9</v>
      </c>
    </row>
    <row r="119" spans="1:1" x14ac:dyDescent="0.25">
      <c r="A119" s="3">
        <v>1.9</v>
      </c>
    </row>
    <row r="120" spans="1:1" x14ac:dyDescent="0.25">
      <c r="A120" s="3">
        <v>1.9</v>
      </c>
    </row>
    <row r="121" spans="1:1" x14ac:dyDescent="0.25">
      <c r="A121" s="3">
        <v>1.9</v>
      </c>
    </row>
    <row r="122" spans="1:1" x14ac:dyDescent="0.25">
      <c r="A122">
        <v>1.9</v>
      </c>
    </row>
    <row r="123" spans="1:1" x14ac:dyDescent="0.25">
      <c r="A123" s="3">
        <v>2</v>
      </c>
    </row>
    <row r="124" spans="1:1" x14ac:dyDescent="0.25">
      <c r="A124" s="3">
        <v>2</v>
      </c>
    </row>
    <row r="125" spans="1:1" x14ac:dyDescent="0.25">
      <c r="A125" s="3">
        <v>2</v>
      </c>
    </row>
    <row r="126" spans="1:1" x14ac:dyDescent="0.25">
      <c r="A126" s="3">
        <v>2</v>
      </c>
    </row>
    <row r="127" spans="1:1" x14ac:dyDescent="0.25">
      <c r="A127" s="3">
        <v>2</v>
      </c>
    </row>
    <row r="128" spans="1:1" x14ac:dyDescent="0.25">
      <c r="A128">
        <v>2</v>
      </c>
    </row>
    <row r="129" spans="1:1" x14ac:dyDescent="0.25">
      <c r="A129" s="3">
        <v>2.1</v>
      </c>
    </row>
    <row r="130" spans="1:1" x14ac:dyDescent="0.25">
      <c r="A130" s="3">
        <v>2.1</v>
      </c>
    </row>
    <row r="131" spans="1:1" x14ac:dyDescent="0.25">
      <c r="A131" s="3">
        <v>2.1</v>
      </c>
    </row>
    <row r="132" spans="1:1" x14ac:dyDescent="0.25">
      <c r="A132" s="3">
        <v>2.1</v>
      </c>
    </row>
    <row r="133" spans="1:1" x14ac:dyDescent="0.25">
      <c r="A133">
        <v>2.1</v>
      </c>
    </row>
    <row r="134" spans="1:1" x14ac:dyDescent="0.25">
      <c r="A134">
        <v>2.1</v>
      </c>
    </row>
    <row r="135" spans="1:1" x14ac:dyDescent="0.25">
      <c r="A135" s="3">
        <v>2.2000000000000002</v>
      </c>
    </row>
    <row r="136" spans="1:1" x14ac:dyDescent="0.25">
      <c r="A136" s="3">
        <v>2.2000000000000002</v>
      </c>
    </row>
    <row r="137" spans="1:1" x14ac:dyDescent="0.25">
      <c r="A137">
        <v>2.2000000000000002</v>
      </c>
    </row>
    <row r="138" spans="1:1" x14ac:dyDescent="0.25">
      <c r="A138" s="3">
        <v>2.2999999999999998</v>
      </c>
    </row>
    <row r="139" spans="1:1" x14ac:dyDescent="0.25">
      <c r="A139" s="3">
        <v>2.2999999999999998</v>
      </c>
    </row>
    <row r="140" spans="1:1" x14ac:dyDescent="0.25">
      <c r="A140" s="3">
        <v>2.2999999999999998</v>
      </c>
    </row>
    <row r="141" spans="1:1" x14ac:dyDescent="0.25">
      <c r="A141" s="3">
        <v>2.2999999999999998</v>
      </c>
    </row>
    <row r="142" spans="1:1" x14ac:dyDescent="0.25">
      <c r="A142" s="3">
        <v>2.2999999999999998</v>
      </c>
    </row>
    <row r="143" spans="1:1" x14ac:dyDescent="0.25">
      <c r="A143" s="3">
        <v>2.2999999999999998</v>
      </c>
    </row>
    <row r="144" spans="1:1" x14ac:dyDescent="0.25">
      <c r="A144" s="3">
        <v>2.2999999999999998</v>
      </c>
    </row>
    <row r="145" spans="1:1" x14ac:dyDescent="0.25">
      <c r="A145">
        <v>2.2999999999999998</v>
      </c>
    </row>
    <row r="146" spans="1:1" x14ac:dyDescent="0.25">
      <c r="A146" s="3">
        <v>2.4</v>
      </c>
    </row>
    <row r="147" spans="1:1" x14ac:dyDescent="0.25">
      <c r="A147" s="3">
        <v>2.4</v>
      </c>
    </row>
    <row r="148" spans="1:1" x14ac:dyDescent="0.25">
      <c r="A148" s="3">
        <v>2.4</v>
      </c>
    </row>
    <row r="149" spans="1:1" x14ac:dyDescent="0.25">
      <c r="A149" s="3">
        <v>2.5</v>
      </c>
    </row>
    <row r="150" spans="1:1" x14ac:dyDescent="0.25">
      <c r="A150" s="3">
        <v>2.5</v>
      </c>
    </row>
    <row r="151" spans="1:1" x14ac:dyDescent="0.25">
      <c r="A151">
        <v>2.5</v>
      </c>
    </row>
  </sheetData>
  <sortState ref="K13:K18">
    <sortCondition ref="K13"/>
  </sortState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Charts</vt:lpstr>
      </vt:variant>
      <vt:variant>
        <vt:i4>5</vt:i4>
      </vt:variant>
    </vt:vector>
  </HeadingPairs>
  <TitlesOfParts>
    <vt:vector size="14" baseType="lpstr">
      <vt:lpstr>Sheet1</vt:lpstr>
      <vt:lpstr>Sheet4</vt:lpstr>
      <vt:lpstr>Sheet5</vt:lpstr>
      <vt:lpstr>Sheet6</vt:lpstr>
      <vt:lpstr>Sheet2</vt:lpstr>
      <vt:lpstr>BĐ hộp</vt:lpstr>
      <vt:lpstr>Sheet7</vt:lpstr>
      <vt:lpstr>BĐ tần số PL</vt:lpstr>
      <vt:lpstr>BĐ tần số PW</vt:lpstr>
      <vt:lpstr>Chart4</vt:lpstr>
      <vt:lpstr>Pental length</vt:lpstr>
      <vt:lpstr>petal width</vt:lpstr>
      <vt:lpstr>BĐ tần số SL</vt:lpstr>
      <vt:lpstr>BĐ tần số SW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ngo ky</dc:creator>
  <cp:lastModifiedBy>ngo ky</cp:lastModifiedBy>
  <dcterms:created xsi:type="dcterms:W3CDTF">2017-09-13T15:22:05Z</dcterms:created>
  <dcterms:modified xsi:type="dcterms:W3CDTF">2017-09-17T10:04:07Z</dcterms:modified>
</cp:coreProperties>
</file>